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c183\Documents\Grant Proposal Website\"/>
    </mc:Choice>
  </mc:AlternateContent>
  <xr:revisionPtr revIDLastSave="0" documentId="13_ncr:1_{7E8EE252-05BD-4A50-A884-FF56961C8C73}" xr6:coauthVersionLast="47" xr6:coauthVersionMax="47" xr10:uidLastSave="{00000000-0000-0000-0000-000000000000}"/>
  <bookViews>
    <workbookView xWindow="-57720" yWindow="-120" windowWidth="29040" windowHeight="15840" activeTab="2" xr2:uid="{00000000-000D-0000-FFFF-FFFF00000000}"/>
  </bookViews>
  <sheets>
    <sheet name="Sheet1" sheetId="34" r:id="rId1"/>
    <sheet name="Reference" sheetId="43" r:id="rId2"/>
    <sheet name="Current" sheetId="42" r:id="rId3"/>
  </sheets>
  <definedNames>
    <definedName name="_xlnm.Print_Area" localSheetId="2">Current!$A$1:$M$86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42" l="1"/>
  <c r="H51" i="42"/>
  <c r="G6" i="43"/>
  <c r="G8" i="43"/>
  <c r="G9" i="43"/>
  <c r="G10" i="43"/>
  <c r="G11" i="43"/>
  <c r="G12" i="43"/>
  <c r="G13" i="43"/>
  <c r="G14" i="43"/>
  <c r="G15" i="43"/>
  <c r="G16" i="43"/>
  <c r="G17" i="43"/>
  <c r="G4" i="43"/>
  <c r="G5" i="43"/>
  <c r="O44" i="42"/>
  <c r="O46" i="42"/>
  <c r="F5" i="43"/>
  <c r="F6" i="43"/>
  <c r="F7" i="43"/>
  <c r="F8" i="43"/>
  <c r="F9" i="43"/>
  <c r="F10" i="43"/>
  <c r="F11" i="43"/>
  <c r="A44" i="42" s="1"/>
  <c r="F12" i="43"/>
  <c r="F13" i="43"/>
  <c r="F14" i="43"/>
  <c r="F15" i="43"/>
  <c r="F16" i="43"/>
  <c r="F17" i="43"/>
  <c r="F4" i="43"/>
  <c r="E5" i="43"/>
  <c r="E6" i="43"/>
  <c r="E7" i="43"/>
  <c r="G7" i="43" s="1"/>
  <c r="E8" i="43"/>
  <c r="E9" i="43"/>
  <c r="E10" i="43"/>
  <c r="E11" i="43"/>
  <c r="E12" i="43"/>
  <c r="E13" i="43"/>
  <c r="E14" i="43"/>
  <c r="E15" i="43"/>
  <c r="E16" i="43"/>
  <c r="E17" i="43"/>
  <c r="E4" i="43"/>
  <c r="E50" i="42"/>
  <c r="F50" i="42"/>
  <c r="G50" i="42"/>
  <c r="H50" i="42"/>
  <c r="D50" i="42"/>
  <c r="D54" i="42" s="1"/>
  <c r="C38" i="42"/>
  <c r="C39" i="42"/>
  <c r="C40" i="42"/>
  <c r="C41" i="42"/>
  <c r="C42" i="42"/>
  <c r="C43" i="42"/>
  <c r="C44" i="42"/>
  <c r="C45" i="42"/>
  <c r="C46" i="42"/>
  <c r="C37" i="42"/>
  <c r="I1" i="43"/>
  <c r="O96" i="42"/>
  <c r="O98" i="42"/>
  <c r="O41" i="42"/>
  <c r="S7" i="42"/>
  <c r="O42" i="42"/>
  <c r="N7" i="42"/>
  <c r="M100" i="42"/>
  <c r="O100" i="42" s="1"/>
  <c r="M99" i="42"/>
  <c r="M98" i="42"/>
  <c r="M97" i="42"/>
  <c r="M96" i="42"/>
  <c r="M95" i="42"/>
  <c r="M94" i="42"/>
  <c r="M101" i="42" s="1"/>
  <c r="J100" i="42"/>
  <c r="J99" i="42"/>
  <c r="J98" i="42"/>
  <c r="J97" i="42"/>
  <c r="J96" i="42"/>
  <c r="J95" i="42"/>
  <c r="J94" i="42"/>
  <c r="J101" i="42" s="1"/>
  <c r="G95" i="42"/>
  <c r="O95" i="42" s="1"/>
  <c r="G96" i="42"/>
  <c r="G97" i="42"/>
  <c r="O97" i="42" s="1"/>
  <c r="G98" i="42"/>
  <c r="G99" i="42"/>
  <c r="O99" i="42" s="1"/>
  <c r="G100" i="42"/>
  <c r="G94" i="42"/>
  <c r="O94" i="42" s="1"/>
  <c r="A41" i="42"/>
  <c r="A42" i="42"/>
  <c r="F78" i="42"/>
  <c r="F79" i="42"/>
  <c r="H78" i="42"/>
  <c r="J78" i="42"/>
  <c r="K78" i="42"/>
  <c r="H79" i="42"/>
  <c r="J79" i="42"/>
  <c r="K79" i="42" s="1"/>
  <c r="A72" i="42"/>
  <c r="A73" i="42"/>
  <c r="A74" i="42"/>
  <c r="A75" i="42"/>
  <c r="A76" i="42"/>
  <c r="A77" i="42"/>
  <c r="A80" i="42"/>
  <c r="A81" i="42"/>
  <c r="A82" i="42"/>
  <c r="A83" i="42"/>
  <c r="A71" i="42"/>
  <c r="I84" i="42"/>
  <c r="F75" i="42"/>
  <c r="H75" i="42"/>
  <c r="J75" i="42"/>
  <c r="K75" i="42" s="1"/>
  <c r="F76" i="42"/>
  <c r="H76" i="42"/>
  <c r="J76" i="42"/>
  <c r="K76" i="42"/>
  <c r="F77" i="42"/>
  <c r="H77" i="42"/>
  <c r="J77" i="42"/>
  <c r="K77" i="42" s="1"/>
  <c r="F80" i="42"/>
  <c r="H80" i="42"/>
  <c r="J80" i="42"/>
  <c r="K80" i="42" s="1"/>
  <c r="F81" i="42"/>
  <c r="H81" i="42"/>
  <c r="J81" i="42"/>
  <c r="K81" i="42"/>
  <c r="F82" i="42"/>
  <c r="H82" i="42"/>
  <c r="J82" i="42"/>
  <c r="K82" i="42" s="1"/>
  <c r="F42" i="42"/>
  <c r="H42" i="42"/>
  <c r="F43" i="42"/>
  <c r="H43" i="42"/>
  <c r="F44" i="42"/>
  <c r="H44" i="42"/>
  <c r="F45" i="42"/>
  <c r="H45" i="42"/>
  <c r="P1" i="42"/>
  <c r="G84" i="42"/>
  <c r="F72" i="42"/>
  <c r="F73" i="42"/>
  <c r="F74" i="42"/>
  <c r="F83" i="42"/>
  <c r="F71" i="42"/>
  <c r="F52" i="42"/>
  <c r="F53" i="42"/>
  <c r="F48" i="42"/>
  <c r="F49" i="42"/>
  <c r="F47" i="42"/>
  <c r="F38" i="42"/>
  <c r="F39" i="42"/>
  <c r="F40" i="42"/>
  <c r="F41" i="42"/>
  <c r="F46" i="42"/>
  <c r="F37" i="42"/>
  <c r="I48" i="42"/>
  <c r="J48" i="42" s="1"/>
  <c r="K48" i="42"/>
  <c r="E84" i="42"/>
  <c r="E85" i="42" s="1"/>
  <c r="D84" i="42"/>
  <c r="J83" i="42"/>
  <c r="K83" i="42"/>
  <c r="J74" i="42"/>
  <c r="K74" i="42"/>
  <c r="H73" i="42"/>
  <c r="J72" i="42"/>
  <c r="K72" i="42" s="1"/>
  <c r="J71" i="42"/>
  <c r="K71" i="42" s="1"/>
  <c r="J47" i="42"/>
  <c r="E54" i="42"/>
  <c r="H37" i="42"/>
  <c r="H38" i="42"/>
  <c r="J73" i="42"/>
  <c r="K73" i="42" s="1"/>
  <c r="J70" i="42"/>
  <c r="K70" i="42" s="1"/>
  <c r="H47" i="42"/>
  <c r="K47" i="42"/>
  <c r="H46" i="42"/>
  <c r="H48" i="42"/>
  <c r="H41" i="42"/>
  <c r="H39" i="42"/>
  <c r="H74" i="42"/>
  <c r="H71" i="42"/>
  <c r="H83" i="42"/>
  <c r="H49" i="42"/>
  <c r="H72" i="42"/>
  <c r="H84" i="42" s="1"/>
  <c r="H40" i="42"/>
  <c r="G101" i="42"/>
  <c r="F84" i="42"/>
  <c r="D52" i="42"/>
  <c r="I49" i="42"/>
  <c r="J49" i="42"/>
  <c r="K49" i="42" s="1"/>
  <c r="J84" i="42"/>
  <c r="K84" i="42" s="1"/>
  <c r="H52" i="42"/>
  <c r="D53" i="42"/>
  <c r="H53" i="42" s="1"/>
  <c r="O40" i="42" l="1"/>
  <c r="O38" i="42"/>
  <c r="P38" i="42" s="1"/>
  <c r="I38" i="42" s="1"/>
  <c r="J38" i="42" s="1"/>
  <c r="K38" i="42" s="1"/>
  <c r="A45" i="42"/>
  <c r="O43" i="42"/>
  <c r="P43" i="42" s="1"/>
  <c r="I43" i="42" s="1"/>
  <c r="A46" i="42"/>
  <c r="D85" i="42"/>
  <c r="D86" i="42" s="1"/>
  <c r="E86" i="42"/>
  <c r="A39" i="42"/>
  <c r="O39" i="42"/>
  <c r="P39" i="42" s="1"/>
  <c r="I39" i="42" s="1"/>
  <c r="J39" i="42" s="1"/>
  <c r="K39" i="42" s="1"/>
  <c r="A38" i="42"/>
  <c r="O45" i="42"/>
  <c r="P45" i="42" s="1"/>
  <c r="I45" i="42" s="1"/>
  <c r="J45" i="42" s="1"/>
  <c r="K45" i="42" s="1"/>
  <c r="A43" i="42"/>
  <c r="A40" i="42"/>
  <c r="A37" i="42"/>
  <c r="O37" i="42"/>
  <c r="P37" i="42" s="1"/>
  <c r="I37" i="42" s="1"/>
  <c r="O101" i="42"/>
  <c r="G51" i="42" s="1"/>
  <c r="P41" i="42"/>
  <c r="I41" i="42" s="1"/>
  <c r="J41" i="42" s="1"/>
  <c r="K41" i="42" s="1"/>
  <c r="P46" i="42"/>
  <c r="I46" i="42" s="1"/>
  <c r="J46" i="42" s="1"/>
  <c r="K46" i="42" s="1"/>
  <c r="P42" i="42"/>
  <c r="I42" i="42" s="1"/>
  <c r="J42" i="42" s="1"/>
  <c r="K42" i="42" s="1"/>
  <c r="P40" i="42"/>
  <c r="P44" i="42"/>
  <c r="I44" i="42" s="1"/>
  <c r="J44" i="42" s="1"/>
  <c r="K44" i="42" s="1"/>
  <c r="J37" i="42" l="1"/>
  <c r="J51" i="42"/>
  <c r="K51" i="42" s="1"/>
  <c r="I40" i="42"/>
  <c r="J40" i="42" s="1"/>
  <c r="K40" i="42" s="1"/>
  <c r="J43" i="42"/>
  <c r="K43" i="42" s="1"/>
  <c r="K37" i="42" l="1"/>
  <c r="K50" i="42" s="1"/>
  <c r="J50" i="42"/>
  <c r="I50" i="42"/>
  <c r="I54" i="42" s="1"/>
  <c r="I53" i="42"/>
  <c r="J53" i="42" s="1"/>
  <c r="K53" i="42" s="1"/>
  <c r="G54" i="42"/>
  <c r="H54" i="42"/>
  <c r="F51" i="42"/>
  <c r="F54" i="42" s="1"/>
  <c r="F85" i="42" s="1"/>
  <c r="O54" i="42"/>
  <c r="I52" i="42"/>
  <c r="J52" i="42" s="1"/>
  <c r="K52" i="42" s="1"/>
  <c r="G85" i="42" l="1"/>
  <c r="H85" i="42" s="1"/>
  <c r="H86" i="42" s="1"/>
  <c r="F86" i="42"/>
  <c r="J54" i="42"/>
  <c r="K54" i="42" s="1"/>
  <c r="I85" i="42"/>
  <c r="J85" i="42" s="1"/>
  <c r="K85" i="42" s="1"/>
  <c r="G86" i="42" l="1"/>
  <c r="I86" i="42"/>
  <c r="J86" i="42" s="1"/>
  <c r="K86" i="42" s="1"/>
</calcChain>
</file>

<file path=xl/sharedStrings.xml><?xml version="1.0" encoding="utf-8"?>
<sst xmlns="http://schemas.openxmlformats.org/spreadsheetml/2006/main" count="160" uniqueCount="121">
  <si>
    <t>Budget</t>
  </si>
  <si>
    <t>Fringe Benefits</t>
  </si>
  <si>
    <t>Total Other Direct Costs</t>
  </si>
  <si>
    <t>Travel</t>
  </si>
  <si>
    <t>Other Direct Costs:</t>
  </si>
  <si>
    <t>Comments</t>
  </si>
  <si>
    <t>Student Wages</t>
  </si>
  <si>
    <t>Description</t>
  </si>
  <si>
    <t>Total Cumulative Expenses to Date</t>
  </si>
  <si>
    <t>Budget Remaining</t>
  </si>
  <si>
    <t>FICA</t>
  </si>
  <si>
    <t>Medicare</t>
  </si>
  <si>
    <t>Project Title:</t>
  </si>
  <si>
    <t>PI:</t>
  </si>
  <si>
    <t>Contract Dates:</t>
  </si>
  <si>
    <t>Current Quarterly Expenses</t>
  </si>
  <si>
    <t>F&amp;A Rate:</t>
  </si>
  <si>
    <t>Expenditure Type</t>
  </si>
  <si>
    <t>To</t>
  </si>
  <si>
    <t>ACTUAL BUDGET VS. EXPENSES</t>
  </si>
  <si>
    <t>Budget Remaining w/ Pending Commitments</t>
  </si>
  <si>
    <t>ACTUAL</t>
  </si>
  <si>
    <t>PENDING</t>
  </si>
  <si>
    <t>Commitments / Adjustments</t>
  </si>
  <si>
    <t>Total Actual and Pending Commitments / Charges</t>
  </si>
  <si>
    <t>Staff:</t>
  </si>
  <si>
    <t>Total Staff Costs</t>
  </si>
  <si>
    <t>Total Staff /Fringe Benefits</t>
  </si>
  <si>
    <t xml:space="preserve">Facilities &amp; Administrative Costs </t>
  </si>
  <si>
    <t>Report as of</t>
  </si>
  <si>
    <t>Sponsor:</t>
  </si>
  <si>
    <t>Billing Type:</t>
  </si>
  <si>
    <t>Project Supplies</t>
  </si>
  <si>
    <t>Previous Cumulative Expenses (Qtr)</t>
  </si>
  <si>
    <t>Fringe Rate:</t>
  </si>
  <si>
    <t>Computer Software</t>
  </si>
  <si>
    <t>Postage and Shipping</t>
  </si>
  <si>
    <t>Total Project Costs</t>
  </si>
  <si>
    <t>Cost Reimbursement</t>
  </si>
  <si>
    <t>Last Pay Period end date</t>
  </si>
  <si>
    <t>Total</t>
  </si>
  <si>
    <t>This is your balance including pending commitments</t>
  </si>
  <si>
    <t>Project#:</t>
  </si>
  <si>
    <t>Akenapalli,Chendra S</t>
  </si>
  <si>
    <t>Bodak,Erica L</t>
  </si>
  <si>
    <t>D'Andrea Romer,Camille E</t>
  </si>
  <si>
    <t>Fama,Marie</t>
  </si>
  <si>
    <t>Gonzalez,Melissa</t>
  </si>
  <si>
    <t>Greco,Carissa N</t>
  </si>
  <si>
    <t>Mian,Mehreen</t>
  </si>
  <si>
    <t>Peng,Dan</t>
  </si>
  <si>
    <t>Perez,Delmy E</t>
  </si>
  <si>
    <t>Pofale,Preeti</t>
  </si>
  <si>
    <t>Power,Siobhan</t>
  </si>
  <si>
    <t>Smith,Veronica</t>
  </si>
  <si>
    <t>Verzbickis,Melania</t>
  </si>
  <si>
    <t>Williams,Renee D</t>
  </si>
  <si>
    <t>Wolff,Nancy L</t>
  </si>
  <si>
    <t>Wyce,Christopher</t>
  </si>
  <si>
    <t>Yue,Alice</t>
  </si>
  <si>
    <t># of Days Left Per Staff (excluding holidays and time off)</t>
  </si>
  <si>
    <t>Daily Rate</t>
  </si>
  <si>
    <t>No. of Days remaining to project end date:</t>
  </si>
  <si>
    <t xml:space="preserve">Enter Projected effort% </t>
  </si>
  <si>
    <t>Rent</t>
  </si>
  <si>
    <t>Rental (Office Equipment)</t>
  </si>
  <si>
    <t>Printing Publication Service</t>
  </si>
  <si>
    <t>Telephone</t>
  </si>
  <si>
    <t>Participant Support/Direct Disbursement</t>
  </si>
  <si>
    <t>BRM Postage</t>
  </si>
  <si>
    <t>Hourly Labor</t>
  </si>
  <si>
    <t>Computer Supplies</t>
  </si>
  <si>
    <t>Computer Services</t>
  </si>
  <si>
    <t>Other Services</t>
  </si>
  <si>
    <t>Equipment (Capitalized)</t>
  </si>
  <si>
    <t>Equipment (Non Capitalized)</t>
  </si>
  <si>
    <t>Coadjutant</t>
  </si>
  <si>
    <t>Employee Name (Last, First)</t>
  </si>
  <si>
    <t>IBS $</t>
  </si>
  <si>
    <t>Salary and Wages (Regular Staff, Contractual, Post Doc, TA/GA)</t>
  </si>
  <si>
    <t>Type</t>
  </si>
  <si>
    <t>Fringe Rate</t>
  </si>
  <si>
    <t>Regular Staff</t>
  </si>
  <si>
    <t>Contractual/Part Time</t>
  </si>
  <si>
    <t>Post Doctorate</t>
  </si>
  <si>
    <t>TA/GA</t>
  </si>
  <si>
    <t>Tenured Faculty</t>
  </si>
  <si>
    <t>Tenured Track Faculty</t>
  </si>
  <si>
    <t>NonTenured Track Faculty</t>
  </si>
  <si>
    <t>Natural Account</t>
  </si>
  <si>
    <t>Current Fringe rate</t>
  </si>
  <si>
    <t xml:space="preserve"> See below</t>
  </si>
  <si>
    <t>FY2023</t>
  </si>
  <si>
    <t>FY2024</t>
  </si>
  <si>
    <t>FY2025</t>
  </si>
  <si>
    <t>Salary</t>
  </si>
  <si>
    <t>Fringe Reconciliation:</t>
  </si>
  <si>
    <t>Grand Total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</si>
  <si>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</si>
  <si>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</si>
  <si>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</si>
  <si>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</si>
  <si>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</si>
  <si>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</si>
  <si>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</si>
  <si>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</si>
  <si>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</si>
  <si>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</si>
  <si>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Participant Support</t>
  </si>
  <si>
    <t>Human Subject Payments</t>
  </si>
  <si>
    <t>Conference Registration</t>
  </si>
  <si>
    <t>Tuition Remission</t>
  </si>
  <si>
    <t>Tuition Fees (TA/GA)</t>
  </si>
  <si>
    <t>Professional Services</t>
  </si>
  <si>
    <t>Student Aid</t>
  </si>
  <si>
    <t>Subcontractor (&lt;= 25K)</t>
  </si>
  <si>
    <t>Subcontractor (&gt;25K)</t>
  </si>
  <si>
    <t>Fiscal Year Start Date:</t>
  </si>
  <si>
    <t>End Date:</t>
  </si>
  <si>
    <t># of working days</t>
  </si>
  <si>
    <t>Summer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</si>
</sst>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00_);_(* \(#,##0.0000\);_(* &quot;-&quot;??_);_(@_)"/>
  </numFmts>
  <fonts count="30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u val="singleAccounting"/>
      <sz val="14"/>
      <name val="Arial"/>
      <family val="2"/>
    </font>
    <font>
      <b/>
      <u val="doubleAccounting"/>
      <sz val="14"/>
      <name val="Arial"/>
      <family val="2"/>
    </font>
    <font>
      <sz val="18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2"/>
      <name val="Cambria"/>
      <family val="2"/>
      <scheme val="major"/>
    </font>
    <font>
      <b/>
      <sz val="12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b/>
      <u val="singleAccounting"/>
      <sz val="14"/>
      <color theme="1" tint="0.34998626667073579"/>
      <name val="Arial"/>
      <family val="2"/>
    </font>
    <font>
      <i/>
      <sz val="14"/>
      <color theme="1" tint="0.34998626667073579"/>
      <name val="Arial"/>
      <family val="2"/>
    </font>
    <font>
      <b/>
      <u val="doubleAccounting"/>
      <sz val="14"/>
      <color theme="1" tint="0.34998626667073579"/>
      <name val="Arial"/>
      <family val="2"/>
    </font>
    <font>
      <b/>
      <u val="doubleAccounting"/>
      <sz val="14"/>
      <color rgb="FFFF0000"/>
      <name val="Arial"/>
      <family val="2"/>
    </font>
    <font>
      <b/>
      <sz val="14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4" fillId="0" borderId="0" xfId="0" applyFont="1"/>
    <xf numFmtId="43" fontId="3" fillId="0" borderId="1" xfId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43" fontId="2" fillId="0" borderId="0" xfId="0" applyNumberFormat="1" applyFont="1"/>
    <xf numFmtId="0" fontId="9" fillId="0" borderId="0" xfId="0" applyFont="1" applyBorder="1" applyAlignment="1">
      <alignment horizontal="right"/>
    </xf>
    <xf numFmtId="0" fontId="9" fillId="0" borderId="0" xfId="0" applyFont="1"/>
    <xf numFmtId="0" fontId="9" fillId="0" borderId="0" xfId="0" applyFont="1" applyBorder="1"/>
    <xf numFmtId="14" fontId="11" fillId="0" borderId="2" xfId="0" applyNumberFormat="1" applyFont="1" applyBorder="1"/>
    <xf numFmtId="0" fontId="11" fillId="0" borderId="2" xfId="0" applyFont="1" applyBorder="1" applyAlignment="1">
      <alignment horizontal="center"/>
    </xf>
    <xf numFmtId="14" fontId="11" fillId="0" borderId="2" xfId="0" applyNumberFormat="1" applyFont="1" applyBorder="1" applyAlignment="1">
      <alignment horizontal="left"/>
    </xf>
    <xf numFmtId="0" fontId="9" fillId="0" borderId="2" xfId="0" applyFont="1" applyBorder="1"/>
    <xf numFmtId="0" fontId="9" fillId="0" borderId="3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7" fillId="0" borderId="4" xfId="0" applyFont="1" applyBorder="1"/>
    <xf numFmtId="0" fontId="6" fillId="0" borderId="4" xfId="0" applyFont="1" applyBorder="1" applyProtection="1">
      <protection hidden="1"/>
    </xf>
    <xf numFmtId="41" fontId="7" fillId="0" borderId="4" xfId="0" applyNumberFormat="1" applyFont="1" applyBorder="1" applyProtection="1">
      <protection hidden="1"/>
    </xf>
    <xf numFmtId="0" fontId="7" fillId="0" borderId="4" xfId="0" applyFont="1" applyBorder="1" applyProtection="1">
      <protection hidden="1"/>
    </xf>
    <xf numFmtId="164" fontId="7" fillId="0" borderId="4" xfId="1" applyNumberFormat="1" applyFont="1" applyBorder="1" applyProtection="1">
      <protection hidden="1"/>
    </xf>
    <xf numFmtId="43" fontId="7" fillId="0" borderId="4" xfId="1" applyFont="1" applyBorder="1" applyProtection="1">
      <protection hidden="1"/>
    </xf>
    <xf numFmtId="43" fontId="7" fillId="0" borderId="4" xfId="1" applyFont="1" applyBorder="1"/>
    <xf numFmtId="0" fontId="8" fillId="0" borderId="4" xfId="0" applyFont="1" applyBorder="1"/>
    <xf numFmtId="0" fontId="12" fillId="0" borderId="4" xfId="0" applyFont="1" applyBorder="1"/>
    <xf numFmtId="164" fontId="7" fillId="0" borderId="4" xfId="1" applyNumberFormat="1" applyFont="1" applyBorder="1"/>
    <xf numFmtId="43" fontId="12" fillId="0" borderId="4" xfId="1" applyFont="1" applyBorder="1"/>
    <xf numFmtId="164" fontId="12" fillId="0" borderId="4" xfId="1" applyNumberFormat="1" applyFont="1" applyBorder="1"/>
    <xf numFmtId="164" fontId="13" fillId="0" borderId="4" xfId="1" applyNumberFormat="1" applyFont="1" applyBorder="1"/>
    <xf numFmtId="43" fontId="14" fillId="0" borderId="4" xfId="1" applyFont="1" applyBorder="1"/>
    <xf numFmtId="43" fontId="14" fillId="0" borderId="4" xfId="1" applyFont="1" applyBorder="1" applyProtection="1">
      <protection hidden="1"/>
    </xf>
    <xf numFmtId="0" fontId="22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43" fontId="13" fillId="0" borderId="4" xfId="1" applyNumberFormat="1" applyFont="1" applyBorder="1"/>
    <xf numFmtId="43" fontId="7" fillId="0" borderId="4" xfId="1" applyNumberFormat="1" applyFont="1" applyBorder="1" applyProtection="1">
      <protection hidden="1"/>
    </xf>
    <xf numFmtId="43" fontId="7" fillId="0" borderId="4" xfId="1" applyNumberFormat="1" applyFont="1" applyBorder="1"/>
    <xf numFmtId="43" fontId="12" fillId="0" borderId="4" xfId="1" applyNumberFormat="1" applyFont="1" applyBorder="1"/>
    <xf numFmtId="14" fontId="6" fillId="0" borderId="0" xfId="0" applyNumberFormat="1" applyFont="1" applyBorder="1" applyAlignment="1">
      <alignment horizontal="left"/>
    </xf>
    <xf numFmtId="14" fontId="23" fillId="2" borderId="1" xfId="0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41" fontId="24" fillId="2" borderId="4" xfId="0" applyNumberFormat="1" applyFont="1" applyFill="1" applyBorder="1" applyProtection="1">
      <protection hidden="1"/>
    </xf>
    <xf numFmtId="43" fontId="24" fillId="2" borderId="4" xfId="1" applyFont="1" applyFill="1" applyBorder="1" applyProtection="1">
      <protection hidden="1"/>
    </xf>
    <xf numFmtId="43" fontId="24" fillId="2" borderId="4" xfId="1" applyFont="1" applyFill="1" applyBorder="1"/>
    <xf numFmtId="43" fontId="25" fillId="2" borderId="4" xfId="1" applyFont="1" applyFill="1" applyBorder="1" applyProtection="1">
      <protection hidden="1"/>
    </xf>
    <xf numFmtId="43" fontId="25" fillId="2" borderId="4" xfId="1" applyFont="1" applyFill="1" applyBorder="1"/>
    <xf numFmtId="164" fontId="25" fillId="2" borderId="4" xfId="1" applyNumberFormat="1" applyFont="1" applyFill="1" applyBorder="1"/>
    <xf numFmtId="43" fontId="26" fillId="2" borderId="4" xfId="1" applyFont="1" applyFill="1" applyBorder="1"/>
    <xf numFmtId="43" fontId="27" fillId="2" borderId="4" xfId="1" applyFont="1" applyFill="1" applyBorder="1"/>
    <xf numFmtId="43" fontId="27" fillId="2" borderId="4" xfId="1" applyFont="1" applyFill="1" applyBorder="1" applyProtection="1">
      <protection hidden="1"/>
    </xf>
    <xf numFmtId="10" fontId="11" fillId="0" borderId="3" xfId="4" applyNumberFormat="1" applyFont="1" applyBorder="1"/>
    <xf numFmtId="0" fontId="2" fillId="0" borderId="3" xfId="0" applyFont="1" applyBorder="1"/>
    <xf numFmtId="10" fontId="11" fillId="0" borderId="3" xfId="0" applyNumberFormat="1" applyFont="1" applyBorder="1" applyAlignment="1">
      <alignment horizontal="right"/>
    </xf>
    <xf numFmtId="0" fontId="15" fillId="0" borderId="0" xfId="0" applyFont="1"/>
    <xf numFmtId="0" fontId="6" fillId="0" borderId="0" xfId="0" applyFont="1" applyBorder="1" applyAlignment="1"/>
    <xf numFmtId="0" fontId="16" fillId="0" borderId="3" xfId="0" applyFont="1" applyBorder="1"/>
    <xf numFmtId="164" fontId="24" fillId="2" borderId="4" xfId="1" applyNumberFormat="1" applyFont="1" applyFill="1" applyBorder="1" applyProtection="1">
      <protection hidden="1"/>
    </xf>
    <xf numFmtId="164" fontId="2" fillId="0" borderId="0" xfId="0" applyNumberFormat="1" applyFont="1"/>
    <xf numFmtId="0" fontId="3" fillId="0" borderId="0" xfId="0" applyFont="1" applyBorder="1" applyAlignment="1">
      <alignment horizontal="right"/>
    </xf>
    <xf numFmtId="43" fontId="14" fillId="0" borderId="4" xfId="1" applyNumberFormat="1" applyFont="1" applyBorder="1"/>
    <xf numFmtId="43" fontId="13" fillId="2" borderId="4" xfId="1" applyNumberFormat="1" applyFont="1" applyFill="1" applyBorder="1"/>
    <xf numFmtId="0" fontId="17" fillId="0" borderId="0" xfId="0" applyFont="1" applyBorder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2" fontId="2" fillId="0" borderId="0" xfId="1" applyNumberFormat="1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/>
    <xf numFmtId="2" fontId="2" fillId="0" borderId="0" xfId="0" applyNumberFormat="1" applyFont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43" fontId="28" fillId="2" borderId="4" xfId="1" applyFont="1" applyFill="1" applyBorder="1"/>
    <xf numFmtId="0" fontId="18" fillId="0" borderId="0" xfId="0" applyFont="1" applyAlignment="1">
      <alignment horizontal="center"/>
    </xf>
    <xf numFmtId="0" fontId="19" fillId="0" borderId="0" xfId="0" applyFont="1"/>
    <xf numFmtId="0" fontId="2" fillId="0" borderId="2" xfId="0" applyFont="1" applyBorder="1"/>
    <xf numFmtId="0" fontId="2" fillId="0" borderId="0" xfId="0" applyFont="1" applyBorder="1"/>
    <xf numFmtId="0" fontId="7" fillId="0" borderId="2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5" fillId="0" borderId="0" xfId="0" applyFont="1"/>
    <xf numFmtId="2" fontId="5" fillId="0" borderId="0" xfId="0" applyNumberFormat="1" applyFont="1"/>
    <xf numFmtId="165" fontId="2" fillId="0" borderId="0" xfId="2" applyNumberFormat="1" applyFont="1" applyAlignment="1">
      <alignment horizontal="right"/>
    </xf>
    <xf numFmtId="0" fontId="2" fillId="0" borderId="0" xfId="0" applyFont="1" applyFill="1"/>
    <xf numFmtId="10" fontId="2" fillId="3" borderId="4" xfId="4" applyNumberFormat="1" applyFont="1" applyFill="1" applyBorder="1"/>
    <xf numFmtId="10" fontId="2" fillId="3" borderId="4" xfId="0" applyNumberFormat="1" applyFont="1" applyFill="1" applyBorder="1"/>
    <xf numFmtId="10" fontId="2" fillId="3" borderId="0" xfId="0" applyNumberFormat="1" applyFont="1" applyFill="1"/>
    <xf numFmtId="0" fontId="2" fillId="0" borderId="4" xfId="0" applyFont="1" applyBorder="1"/>
    <xf numFmtId="0" fontId="2" fillId="0" borderId="0" xfId="0" applyFont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4" applyFont="1"/>
    <xf numFmtId="10" fontId="0" fillId="0" borderId="0" xfId="4" applyNumberFormat="1" applyFont="1"/>
    <xf numFmtId="44" fontId="0" fillId="0" borderId="0" xfId="0" applyNumberFormat="1"/>
    <xf numFmtId="0" fontId="20" fillId="0" borderId="0" xfId="0" applyFont="1"/>
    <xf numFmtId="0" fontId="2" fillId="0" borderId="0" xfId="0" applyFont="1" applyAlignment="1"/>
    <xf numFmtId="0" fontId="16" fillId="0" borderId="0" xfId="0" applyFont="1" applyBorder="1"/>
    <xf numFmtId="0" fontId="6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4" xfId="0" applyFont="1" applyBorder="1" applyAlignment="1">
      <alignment horizontal="center"/>
    </xf>
    <xf numFmtId="44" fontId="2" fillId="0" borderId="4" xfId="2" applyFont="1" applyBorder="1"/>
    <xf numFmtId="10" fontId="2" fillId="0" borderId="4" xfId="4" applyNumberFormat="1" applyFont="1" applyBorder="1" applyAlignment="1">
      <alignment horizontal="center"/>
    </xf>
    <xf numFmtId="44" fontId="2" fillId="0" borderId="4" xfId="2" applyFont="1" applyBorder="1" applyAlignment="1"/>
    <xf numFmtId="44" fontId="2" fillId="0" borderId="4" xfId="0" applyNumberFormat="1" applyFont="1" applyBorder="1"/>
    <xf numFmtId="44" fontId="2" fillId="0" borderId="4" xfId="0" applyNumberFormat="1" applyFont="1" applyBorder="1" applyAlignment="1"/>
    <xf numFmtId="43" fontId="2" fillId="0" borderId="4" xfId="1" applyFont="1" applyBorder="1"/>
    <xf numFmtId="43" fontId="2" fillId="0" borderId="4" xfId="0" applyNumberFormat="1" applyFont="1" applyBorder="1"/>
    <xf numFmtId="10" fontId="2" fillId="0" borderId="4" xfId="4" applyNumberFormat="1" applyFont="1" applyBorder="1"/>
    <xf numFmtId="10" fontId="2" fillId="0" borderId="4" xfId="4" applyNumberFormat="1" applyFont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43" fontId="2" fillId="0" borderId="0" xfId="1" applyFont="1" applyFill="1" applyBorder="1"/>
    <xf numFmtId="43" fontId="3" fillId="0" borderId="0" xfId="1" applyFont="1" applyFill="1" applyBorder="1"/>
    <xf numFmtId="14" fontId="0" fillId="0" borderId="0" xfId="0" applyNumberForma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0" fontId="2" fillId="0" borderId="5" xfId="4" applyNumberFormat="1" applyFont="1" applyBorder="1" applyAlignment="1"/>
    <xf numFmtId="43" fontId="2" fillId="0" borderId="0" xfId="1" applyFont="1" applyBorder="1"/>
    <xf numFmtId="43" fontId="2" fillId="0" borderId="0" xfId="0" applyNumberFormat="1" applyFont="1" applyBorder="1"/>
    <xf numFmtId="10" fontId="2" fillId="0" borderId="5" xfId="4" applyNumberFormat="1" applyFont="1" applyBorder="1"/>
    <xf numFmtId="0" fontId="2" fillId="0" borderId="5" xfId="0" applyFont="1" applyBorder="1"/>
    <xf numFmtId="0" fontId="5" fillId="0" borderId="0" xfId="0" applyFont="1" applyAlignment="1">
      <alignment horizontal="right"/>
    </xf>
    <xf numFmtId="0" fontId="0" fillId="4" borderId="0" xfId="0" applyFill="1" applyAlignment="1">
      <alignment horizontal="center"/>
    </xf>
    <xf numFmtId="10" fontId="0" fillId="4" borderId="0" xfId="4" applyNumberFormat="1" applyFont="1" applyFill="1" applyAlignment="1">
      <alignment horizontal="center"/>
    </xf>
    <xf numFmtId="0" fontId="0" fillId="4" borderId="0" xfId="4" applyNumberFormat="1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41" fontId="24" fillId="0" borderId="6" xfId="0" applyNumberFormat="1" applyFont="1" applyFill="1" applyBorder="1" applyAlignment="1" applyProtection="1">
      <alignment horizontal="center"/>
      <protection hidden="1"/>
    </xf>
    <xf numFmtId="41" fontId="24" fillId="0" borderId="7" xfId="0" applyNumberFormat="1" applyFont="1" applyFill="1" applyBorder="1" applyAlignment="1" applyProtection="1">
      <alignment horizontal="center"/>
      <protection hidden="1"/>
    </xf>
    <xf numFmtId="0" fontId="6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6" fontId="24" fillId="0" borderId="6" xfId="1" applyNumberFormat="1" applyFont="1" applyFill="1" applyBorder="1" applyAlignment="1" applyProtection="1">
      <alignment horizontal="center"/>
      <protection hidden="1"/>
    </xf>
    <xf numFmtId="166" fontId="24" fillId="0" borderId="7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9" fillId="2" borderId="6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43" fontId="2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 wrapText="1"/>
    </xf>
    <xf numFmtId="166" fontId="24" fillId="0" borderId="6" xfId="0" applyNumberFormat="1" applyFont="1" applyFill="1" applyBorder="1" applyAlignment="1" applyProtection="1">
      <alignment horizontal="center"/>
      <protection hidden="1"/>
    </xf>
    <xf numFmtId="166" fontId="24" fillId="0" borderId="7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Border="1" applyAlignment="1">
      <alignment horizontal="right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529590</xdr:colOff>
      <xdr:row>86</xdr:row>
      <xdr:rowOff>109220</xdr:rowOff>
    </xdr:from>
    <xdr:to>
      <xdr:col>10</xdr:col>
      <xdr:colOff>715120</xdr:colOff>
      <xdr:row>87</xdr:row>
      <xdr:rowOff>12525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59855312-70A2-4EAE-8297-204F2BF93E83}"/>
            </a:ext>
          </a:extLst>
        </xdr:cNvPr>
        <xdr:cNvSpPr/>
      </xdr:nvSpPr>
      <xdr:spPr>
        <a:xfrm>
          <a:off x="11607800" y="11480800"/>
          <a:ext cx="185530" cy="228600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workbookViewId="0">
      <selection sqref="A1:B22"/>
    </sheetView>
  </sheetViews>
  <sheetFormatPr defaultRowHeight="12.75" x14ac:dyDescent="0.2"/>
  <cols>
    <col min="1" max="1" width="51.140625" customWidth="1"/>
    <col min="2" max="2" width="17" customWidth="1"/>
  </cols>
  <sheetData>
    <row r="1" spans="1:2" ht="23.25" x14ac:dyDescent="0.35">
      <c r="A1" s="55" t="s">
        <v>36</v>
      </c>
      <c r="B1" s="1">
        <v>52970</v>
      </c>
    </row>
    <row r="2" spans="1:2" ht="23.25" x14ac:dyDescent="0.35">
      <c r="A2" s="55" t="s">
        <v>32</v>
      </c>
      <c r="B2" s="1">
        <v>53100</v>
      </c>
    </row>
    <row r="3" spans="1:2" ht="23.25" x14ac:dyDescent="0.35">
      <c r="A3" s="55" t="s">
        <v>71</v>
      </c>
      <c r="B3" s="1">
        <v>53100</v>
      </c>
    </row>
    <row r="4" spans="1:2" ht="23.25" x14ac:dyDescent="0.35">
      <c r="A4" s="55" t="s">
        <v>73</v>
      </c>
      <c r="B4" s="1">
        <v>54490</v>
      </c>
    </row>
    <row r="5" spans="1:2" ht="23.25" x14ac:dyDescent="0.35">
      <c r="A5" s="55" t="s">
        <v>72</v>
      </c>
      <c r="B5" s="1">
        <v>54490</v>
      </c>
    </row>
    <row r="6" spans="1:2" ht="23.25" x14ac:dyDescent="0.35">
      <c r="A6" s="55" t="s">
        <v>3</v>
      </c>
      <c r="B6" s="1">
        <v>56690</v>
      </c>
    </row>
    <row r="7" spans="1:2" ht="23.25" x14ac:dyDescent="0.35">
      <c r="A7" s="55" t="s">
        <v>35</v>
      </c>
      <c r="B7" s="1">
        <v>58020</v>
      </c>
    </row>
    <row r="8" spans="1:2" ht="23.25" x14ac:dyDescent="0.35">
      <c r="A8" s="55" t="s">
        <v>67</v>
      </c>
      <c r="B8" s="1">
        <v>60060</v>
      </c>
    </row>
    <row r="9" spans="1:2" ht="23.25" x14ac:dyDescent="0.35">
      <c r="A9" s="55" t="s">
        <v>64</v>
      </c>
      <c r="B9" s="1">
        <v>60510</v>
      </c>
    </row>
    <row r="10" spans="1:2" ht="23.25" x14ac:dyDescent="0.35">
      <c r="A10" s="55" t="s">
        <v>65</v>
      </c>
      <c r="B10" s="1">
        <v>60590</v>
      </c>
    </row>
    <row r="11" spans="1:2" ht="23.25" x14ac:dyDescent="0.35">
      <c r="A11" s="55" t="s">
        <v>66</v>
      </c>
      <c r="B11" s="1">
        <v>66060</v>
      </c>
    </row>
    <row r="12" spans="1:2" ht="23.25" x14ac:dyDescent="0.35">
      <c r="A12" s="55" t="s">
        <v>109</v>
      </c>
      <c r="B12" s="1">
        <v>54160</v>
      </c>
    </row>
    <row r="13" spans="1:2" ht="23.25" x14ac:dyDescent="0.35">
      <c r="A13" s="55" t="s">
        <v>108</v>
      </c>
      <c r="B13" s="89">
        <v>61570</v>
      </c>
    </row>
    <row r="14" spans="1:2" ht="23.25" x14ac:dyDescent="0.35">
      <c r="A14" s="55" t="s">
        <v>75</v>
      </c>
      <c r="B14" s="1">
        <v>58090</v>
      </c>
    </row>
    <row r="15" spans="1:2" ht="23.25" x14ac:dyDescent="0.35">
      <c r="A15" s="55" t="s">
        <v>74</v>
      </c>
      <c r="B15" s="1">
        <v>67040</v>
      </c>
    </row>
    <row r="16" spans="1:2" ht="27" customHeight="1" x14ac:dyDescent="0.35">
      <c r="A16" s="55" t="s">
        <v>110</v>
      </c>
      <c r="B16" s="1">
        <v>56060</v>
      </c>
    </row>
    <row r="17" spans="1:2" ht="23.25" x14ac:dyDescent="0.35">
      <c r="A17" s="55" t="s">
        <v>111</v>
      </c>
      <c r="B17" s="1">
        <v>61060</v>
      </c>
    </row>
    <row r="18" spans="1:2" ht="23.25" x14ac:dyDescent="0.35">
      <c r="A18" s="55" t="s">
        <v>112</v>
      </c>
      <c r="B18" s="1">
        <v>61030</v>
      </c>
    </row>
    <row r="19" spans="1:2" ht="23.25" x14ac:dyDescent="0.35">
      <c r="A19" s="55" t="s">
        <v>114</v>
      </c>
      <c r="B19" s="1">
        <v>57520</v>
      </c>
    </row>
    <row r="20" spans="1:2" ht="23.25" x14ac:dyDescent="0.35">
      <c r="A20" s="55" t="s">
        <v>113</v>
      </c>
      <c r="B20" s="1">
        <v>54490</v>
      </c>
    </row>
    <row r="21" spans="1:2" ht="23.25" x14ac:dyDescent="0.35">
      <c r="A21" s="55" t="s">
        <v>115</v>
      </c>
      <c r="B21" s="1">
        <v>55270</v>
      </c>
    </row>
    <row r="22" spans="1:2" ht="23.25" x14ac:dyDescent="0.35">
      <c r="A22" s="55" t="s">
        <v>116</v>
      </c>
      <c r="B22" s="1">
        <v>55280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F34" sqref="F34"/>
    </sheetView>
  </sheetViews>
  <sheetFormatPr defaultRowHeight="12.75" x14ac:dyDescent="0.2"/>
  <cols>
    <col min="2" max="2" width="28" customWidth="1"/>
    <col min="3" max="3" width="17" customWidth="1"/>
    <col min="4" max="4" width="27.5703125" customWidth="1"/>
    <col min="5" max="5" width="15.28515625" customWidth="1"/>
    <col min="6" max="6" width="17" customWidth="1"/>
    <col min="7" max="7" width="10.5703125" customWidth="1"/>
    <col min="8" max="8" width="20.7109375" customWidth="1"/>
    <col min="9" max="9" width="24" customWidth="1"/>
    <col min="10" max="10" width="15.85546875" customWidth="1"/>
    <col min="11" max="11" width="12.85546875" customWidth="1"/>
  </cols>
  <sheetData>
    <row r="1" spans="1:11" x14ac:dyDescent="0.2">
      <c r="A1" t="s">
        <v>79</v>
      </c>
      <c r="F1" s="132" t="s">
        <v>117</v>
      </c>
      <c r="G1" s="122">
        <v>44743</v>
      </c>
      <c r="H1" s="132" t="s">
        <v>119</v>
      </c>
      <c r="I1" s="137">
        <f>NETWORKDAYS(G1,G2,0)</f>
        <v>261</v>
      </c>
    </row>
    <row r="2" spans="1:11" x14ac:dyDescent="0.2">
      <c r="F2" s="132" t="s">
        <v>118</v>
      </c>
      <c r="G2" s="122">
        <v>45107</v>
      </c>
    </row>
    <row r="3" spans="1:11" x14ac:dyDescent="0.2">
      <c r="B3" s="95" t="s">
        <v>77</v>
      </c>
      <c r="C3" s="96" t="s">
        <v>78</v>
      </c>
      <c r="D3" t="s">
        <v>80</v>
      </c>
      <c r="E3" s="133" t="s">
        <v>81</v>
      </c>
      <c r="F3" s="133" t="s">
        <v>89</v>
      </c>
      <c r="G3" s="81" t="s">
        <v>61</v>
      </c>
      <c r="I3" t="s">
        <v>80</v>
      </c>
      <c r="J3" t="s">
        <v>89</v>
      </c>
      <c r="K3" t="s">
        <v>90</v>
      </c>
    </row>
    <row r="4" spans="1:11" x14ac:dyDescent="0.2">
      <c r="A4">
        <v>1</v>
      </c>
      <c r="B4" s="81" t="s">
        <v>98</v>
      </c>
      <c r="C4" s="99">
        <v>100000</v>
      </c>
      <c r="D4" t="s">
        <v>76</v>
      </c>
      <c r="E4" s="134">
        <f>IFERROR(VLOOKUP($D4,$I$4:$K$13,3,FALSE),"")</f>
        <v>7.6499999999999999E-2</v>
      </c>
      <c r="F4" s="135">
        <f>IFERROR(VLOOKUP($D4,$I$4:$K$13,2,FALSE),"")</f>
        <v>50080</v>
      </c>
      <c r="G4" s="99">
        <f>IF(E4=54.09%,C4/I$1,0)</f>
        <v>0</v>
      </c>
      <c r="I4" t="s">
        <v>82</v>
      </c>
      <c r="J4">
        <v>50010</v>
      </c>
      <c r="K4" s="98">
        <v>0.54090000000000005</v>
      </c>
    </row>
    <row r="5" spans="1:11" x14ac:dyDescent="0.2">
      <c r="A5">
        <v>2</v>
      </c>
      <c r="B5" s="81" t="s">
        <v>99</v>
      </c>
      <c r="C5" s="99">
        <v>50000</v>
      </c>
      <c r="D5" t="s">
        <v>87</v>
      </c>
      <c r="E5" s="134">
        <f t="shared" ref="E5:E17" si="0">IFERROR(VLOOKUP($D5,$I$4:$K$13,3,FALSE),"")</f>
        <v>0.54090000000000005</v>
      </c>
      <c r="F5" s="135">
        <f t="shared" ref="F5:F17" si="1">IFERROR(VLOOKUP($D5,$I$4:$K$13,2,FALSE),"")</f>
        <v>50030</v>
      </c>
      <c r="G5" s="99">
        <f>IF(E5=54.09%,C5/I$1,0)</f>
        <v>191.57088122605364</v>
      </c>
      <c r="I5" t="s">
        <v>86</v>
      </c>
      <c r="J5">
        <v>50020</v>
      </c>
      <c r="K5" s="98">
        <v>0.54090000000000005</v>
      </c>
    </row>
    <row r="6" spans="1:11" x14ac:dyDescent="0.2">
      <c r="A6">
        <v>3</v>
      </c>
      <c r="B6" s="81" t="s">
        <v>100</v>
      </c>
      <c r="C6" s="99">
        <v>10000</v>
      </c>
      <c r="D6" t="s">
        <v>85</v>
      </c>
      <c r="E6" s="134">
        <f t="shared" si="0"/>
        <v>0.24510000000000001</v>
      </c>
      <c r="F6" s="135">
        <f t="shared" si="1"/>
        <v>50050</v>
      </c>
      <c r="G6" s="99">
        <f t="shared" ref="G6:G17" si="2">IF(E6=54.09%,C6/I$1,0)</f>
        <v>0</v>
      </c>
      <c r="I6" t="s">
        <v>87</v>
      </c>
      <c r="J6">
        <v>50030</v>
      </c>
      <c r="K6" s="98">
        <v>0.54090000000000005</v>
      </c>
    </row>
    <row r="7" spans="1:11" x14ac:dyDescent="0.2">
      <c r="A7">
        <v>4</v>
      </c>
      <c r="B7" s="81" t="s">
        <v>101</v>
      </c>
      <c r="C7" s="99">
        <v>200000</v>
      </c>
      <c r="D7" t="s">
        <v>82</v>
      </c>
      <c r="E7" s="134">
        <f t="shared" si="0"/>
        <v>0.54090000000000005</v>
      </c>
      <c r="F7" s="135">
        <f t="shared" si="1"/>
        <v>50010</v>
      </c>
      <c r="G7" s="99">
        <f t="shared" si="2"/>
        <v>766.28352490421457</v>
      </c>
      <c r="I7" t="s">
        <v>88</v>
      </c>
      <c r="J7">
        <v>50040</v>
      </c>
      <c r="K7" s="98">
        <v>0.54090000000000005</v>
      </c>
    </row>
    <row r="8" spans="1:11" x14ac:dyDescent="0.2">
      <c r="A8">
        <v>5</v>
      </c>
      <c r="B8" s="81" t="s">
        <v>102</v>
      </c>
      <c r="C8" s="99">
        <v>80000</v>
      </c>
      <c r="E8" s="134" t="str">
        <f t="shared" si="0"/>
        <v/>
      </c>
      <c r="F8" s="135" t="str">
        <f t="shared" si="1"/>
        <v/>
      </c>
      <c r="G8" s="99">
        <f t="shared" si="2"/>
        <v>0</v>
      </c>
      <c r="I8" t="s">
        <v>83</v>
      </c>
      <c r="J8">
        <v>50100</v>
      </c>
      <c r="K8" s="98">
        <v>0.54090000000000005</v>
      </c>
    </row>
    <row r="9" spans="1:11" x14ac:dyDescent="0.2">
      <c r="A9">
        <v>6</v>
      </c>
      <c r="B9" s="81" t="s">
        <v>103</v>
      </c>
      <c r="C9" s="99">
        <v>75000</v>
      </c>
      <c r="E9" s="134" t="str">
        <f t="shared" si="0"/>
        <v/>
      </c>
      <c r="F9" s="135" t="str">
        <f t="shared" si="1"/>
        <v/>
      </c>
      <c r="G9" s="99">
        <f t="shared" si="2"/>
        <v>0</v>
      </c>
      <c r="I9" t="s">
        <v>84</v>
      </c>
      <c r="J9">
        <v>50060</v>
      </c>
      <c r="K9" s="98">
        <v>0.52710000000000001</v>
      </c>
    </row>
    <row r="10" spans="1:11" x14ac:dyDescent="0.2">
      <c r="A10">
        <v>7</v>
      </c>
      <c r="B10" s="81" t="s">
        <v>104</v>
      </c>
      <c r="C10" s="99">
        <v>50000</v>
      </c>
      <c r="E10" s="134" t="str">
        <f t="shared" si="0"/>
        <v/>
      </c>
      <c r="F10" s="135" t="str">
        <f t="shared" si="1"/>
        <v/>
      </c>
      <c r="G10" s="99">
        <f t="shared" si="2"/>
        <v>0</v>
      </c>
      <c r="I10" t="s">
        <v>85</v>
      </c>
      <c r="J10">
        <v>50050</v>
      </c>
      <c r="K10" s="98">
        <v>0.24510000000000001</v>
      </c>
    </row>
    <row r="11" spans="1:11" x14ac:dyDescent="0.2">
      <c r="A11">
        <v>8</v>
      </c>
      <c r="B11" s="81" t="s">
        <v>105</v>
      </c>
      <c r="C11" s="99"/>
      <c r="E11" s="134" t="str">
        <f t="shared" si="0"/>
        <v/>
      </c>
      <c r="F11" s="135" t="str">
        <f t="shared" si="1"/>
        <v/>
      </c>
      <c r="G11" s="99">
        <f t="shared" si="2"/>
        <v>0</v>
      </c>
      <c r="I11" s="81" t="s">
        <v>76</v>
      </c>
      <c r="J11">
        <v>50080</v>
      </c>
      <c r="K11" s="98">
        <v>7.6499999999999999E-2</v>
      </c>
    </row>
    <row r="12" spans="1:11" x14ac:dyDescent="0.2">
      <c r="A12">
        <v>9</v>
      </c>
      <c r="B12" s="81" t="s">
        <v>106</v>
      </c>
      <c r="C12" s="99"/>
      <c r="E12" s="134" t="str">
        <f t="shared" si="0"/>
        <v/>
      </c>
      <c r="F12" s="135" t="str">
        <f t="shared" si="1"/>
        <v/>
      </c>
      <c r="G12" s="99">
        <f t="shared" si="2"/>
        <v>0</v>
      </c>
      <c r="I12" s="81" t="s">
        <v>120</v>
      </c>
      <c r="J12">
        <v>50080</v>
      </c>
      <c r="K12" s="98">
        <v>7.6499999999999999E-2</v>
      </c>
    </row>
    <row r="13" spans="1:11" x14ac:dyDescent="0.2">
      <c r="A13">
        <v>10</v>
      </c>
      <c r="B13" s="81" t="s">
        <v>107</v>
      </c>
      <c r="C13" s="99"/>
      <c r="E13" s="134" t="str">
        <f t="shared" si="0"/>
        <v/>
      </c>
      <c r="F13" s="135" t="str">
        <f t="shared" si="1"/>
        <v/>
      </c>
      <c r="G13" s="99">
        <f t="shared" si="2"/>
        <v>0</v>
      </c>
      <c r="I13" s="81" t="s">
        <v>70</v>
      </c>
      <c r="J13">
        <v>50120</v>
      </c>
      <c r="K13" s="98">
        <v>7.6499999999999999E-2</v>
      </c>
    </row>
    <row r="14" spans="1:11" x14ac:dyDescent="0.2">
      <c r="A14">
        <v>11</v>
      </c>
      <c r="C14" s="99"/>
      <c r="E14" s="134" t="str">
        <f t="shared" si="0"/>
        <v/>
      </c>
      <c r="F14" s="135" t="str">
        <f t="shared" si="1"/>
        <v/>
      </c>
      <c r="G14" s="99">
        <f t="shared" si="2"/>
        <v>0</v>
      </c>
      <c r="K14" s="97"/>
    </row>
    <row r="15" spans="1:11" x14ac:dyDescent="0.2">
      <c r="A15">
        <v>12</v>
      </c>
      <c r="C15" s="99"/>
      <c r="E15" s="134" t="str">
        <f t="shared" si="0"/>
        <v/>
      </c>
      <c r="F15" s="135" t="str">
        <f t="shared" si="1"/>
        <v/>
      </c>
      <c r="G15" s="99">
        <f t="shared" si="2"/>
        <v>0</v>
      </c>
    </row>
    <row r="16" spans="1:11" x14ac:dyDescent="0.2">
      <c r="A16">
        <v>13</v>
      </c>
      <c r="C16" s="99"/>
      <c r="E16" s="134" t="str">
        <f t="shared" si="0"/>
        <v/>
      </c>
      <c r="F16" s="135" t="str">
        <f t="shared" si="1"/>
        <v/>
      </c>
      <c r="G16" s="99">
        <f t="shared" si="2"/>
        <v>0</v>
      </c>
    </row>
    <row r="17" spans="1:7" x14ac:dyDescent="0.2">
      <c r="A17">
        <v>15</v>
      </c>
      <c r="C17" s="99"/>
      <c r="E17" s="134" t="str">
        <f t="shared" si="0"/>
        <v/>
      </c>
      <c r="F17" s="135" t="str">
        <f t="shared" si="1"/>
        <v/>
      </c>
      <c r="G17" s="99">
        <f t="shared" si="2"/>
        <v>0</v>
      </c>
    </row>
    <row r="18" spans="1:7" x14ac:dyDescent="0.2">
      <c r="F18" s="122"/>
    </row>
    <row r="19" spans="1:7" x14ac:dyDescent="0.2">
      <c r="F19" s="122"/>
    </row>
  </sheetData>
  <phoneticPr fontId="4" type="noConversion"/>
  <dataValidations count="1">
    <dataValidation type="list" allowBlank="1" showInputMessage="1" showErrorMessage="1" sqref="D4:D17" xr:uid="{00000000-0002-0000-0100-000000000000}">
      <formula1>$I$4:$I$13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1"/>
  <sheetViews>
    <sheetView showGridLines="0" tabSelected="1" zoomScale="75" zoomScaleNormal="100" workbookViewId="0">
      <selection activeCell="H47" sqref="H47"/>
    </sheetView>
  </sheetViews>
  <sheetFormatPr defaultRowHeight="24.95" customHeight="1" x14ac:dyDescent="0.2"/>
  <cols>
    <col min="1" max="1" width="15" style="1" customWidth="1"/>
    <col min="2" max="2" width="3.5703125" style="1" customWidth="1"/>
    <col min="3" max="3" width="38.5703125" style="1" customWidth="1"/>
    <col min="4" max="4" width="22.42578125" style="1" customWidth="1"/>
    <col min="5" max="5" width="16.85546875" style="1" customWidth="1"/>
    <col min="6" max="7" width="17.85546875" style="1" customWidth="1"/>
    <col min="8" max="8" width="23.85546875" style="1" customWidth="1"/>
    <col min="9" max="9" width="23.28515625" style="1" customWidth="1"/>
    <col min="10" max="10" width="21.42578125" style="1" customWidth="1"/>
    <col min="11" max="11" width="22.7109375" style="1" customWidth="1"/>
    <col min="12" max="12" width="21.5703125" style="1" customWidth="1"/>
    <col min="13" max="13" width="20.7109375" style="2" customWidth="1"/>
    <col min="14" max="14" width="13.28515625" style="1" hidden="1" customWidth="1"/>
    <col min="15" max="15" width="20.85546875" style="1" customWidth="1"/>
    <col min="16" max="16" width="18.42578125" style="1" customWidth="1"/>
    <col min="17" max="17" width="15.5703125" style="1" customWidth="1"/>
    <col min="18" max="18" width="18.28515625" style="1" customWidth="1"/>
    <col min="19" max="19" width="17.85546875" style="1" customWidth="1"/>
    <col min="20" max="20" width="22" style="1" customWidth="1"/>
    <col min="21" max="21" width="16.5703125" style="1" customWidth="1"/>
    <col min="22" max="22" width="16.140625" style="1" customWidth="1"/>
    <col min="23" max="23" width="20.42578125" style="1" customWidth="1"/>
    <col min="24" max="16384" width="9.140625" style="1"/>
  </cols>
  <sheetData>
    <row r="1" spans="1:23" ht="24.95" customHeight="1" x14ac:dyDescent="0.3">
      <c r="A1" s="168" t="s">
        <v>12</v>
      </c>
      <c r="B1" s="168"/>
      <c r="C1" s="78"/>
      <c r="D1" s="76"/>
      <c r="E1" s="15"/>
      <c r="F1" s="15"/>
      <c r="G1" s="10"/>
      <c r="H1" s="9" t="s">
        <v>14</v>
      </c>
      <c r="I1" s="12"/>
      <c r="J1" s="13" t="s">
        <v>18</v>
      </c>
      <c r="K1" s="14">
        <v>44926</v>
      </c>
      <c r="L1" s="104"/>
      <c r="M1" s="104"/>
      <c r="P1" s="81">
        <f>INT((DATE(YEAR(M1),12,31)-M1)/14+1)</f>
        <v>27</v>
      </c>
      <c r="Q1" s="81"/>
    </row>
    <row r="2" spans="1:23" ht="24.95" customHeight="1" x14ac:dyDescent="0.3">
      <c r="A2" s="168" t="s">
        <v>30</v>
      </c>
      <c r="B2" s="168"/>
      <c r="C2" s="79"/>
      <c r="D2" s="53"/>
      <c r="E2" s="15"/>
      <c r="F2" s="10"/>
      <c r="G2" s="10"/>
      <c r="H2" s="9" t="s">
        <v>16</v>
      </c>
      <c r="I2" s="54">
        <v>0.56999999999999995</v>
      </c>
      <c r="J2" s="53"/>
      <c r="K2" s="57"/>
      <c r="L2" s="102"/>
      <c r="M2" s="6"/>
    </row>
    <row r="3" spans="1:23" ht="24.95" customHeight="1" x14ac:dyDescent="0.3">
      <c r="A3" s="168" t="s">
        <v>42</v>
      </c>
      <c r="B3" s="168"/>
      <c r="C3" s="79"/>
      <c r="D3" s="53"/>
      <c r="E3" s="16"/>
      <c r="F3" s="10"/>
      <c r="G3" s="10"/>
      <c r="H3" s="11" t="s">
        <v>34</v>
      </c>
      <c r="I3" s="52" t="s">
        <v>91</v>
      </c>
      <c r="J3" s="53"/>
      <c r="K3" s="15"/>
      <c r="L3" s="11"/>
      <c r="M3" s="6"/>
    </row>
    <row r="4" spans="1:23" ht="24.95" customHeight="1" x14ac:dyDescent="0.3">
      <c r="A4" s="168" t="s">
        <v>13</v>
      </c>
      <c r="B4" s="168"/>
      <c r="C4" s="80"/>
      <c r="D4" s="53"/>
      <c r="E4" s="15"/>
      <c r="F4" s="10"/>
      <c r="G4" s="10"/>
      <c r="H4" s="9" t="s">
        <v>31</v>
      </c>
      <c r="I4" s="141" t="s">
        <v>38</v>
      </c>
      <c r="J4" s="141"/>
      <c r="K4" s="141"/>
      <c r="L4" s="103"/>
      <c r="M4" s="56"/>
      <c r="U4" s="94"/>
      <c r="V4" s="94"/>
      <c r="W4" s="94"/>
    </row>
    <row r="5" spans="1:23" ht="15.75" customHeight="1" x14ac:dyDescent="0.3">
      <c r="A5" s="7"/>
      <c r="B5" s="7"/>
      <c r="C5" s="17"/>
      <c r="D5" s="11"/>
      <c r="E5" s="11"/>
      <c r="F5" s="11"/>
      <c r="G5" s="11"/>
      <c r="H5" s="11"/>
      <c r="I5" s="11"/>
      <c r="J5" s="11"/>
      <c r="K5" s="11"/>
      <c r="L5" s="11"/>
      <c r="M5" s="6"/>
      <c r="U5" s="94"/>
      <c r="V5" s="94"/>
      <c r="W5" s="94"/>
    </row>
    <row r="6" spans="1:23" ht="24.95" customHeight="1" x14ac:dyDescent="0.3">
      <c r="A6" s="142" t="s">
        <v>19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P6" s="163" t="s">
        <v>62</v>
      </c>
      <c r="Q6" s="163"/>
      <c r="R6" s="163"/>
      <c r="U6" s="94"/>
      <c r="V6" s="94"/>
      <c r="W6" s="94"/>
    </row>
    <row r="7" spans="1:23" ht="20.25" customHeight="1" x14ac:dyDescent="0.3">
      <c r="A7" s="60" t="s">
        <v>29</v>
      </c>
      <c r="B7" s="60"/>
      <c r="C7" s="40">
        <v>44500</v>
      </c>
      <c r="D7" s="40"/>
      <c r="E7" s="18"/>
      <c r="F7" s="18"/>
      <c r="G7" s="18"/>
      <c r="H7" s="18"/>
      <c r="I7" s="156" t="s">
        <v>39</v>
      </c>
      <c r="J7" s="156"/>
      <c r="K7" s="156"/>
      <c r="L7" s="40">
        <v>44644</v>
      </c>
      <c r="M7" s="40"/>
      <c r="N7" s="64">
        <f>L7+1</f>
        <v>44645</v>
      </c>
      <c r="O7" s="82"/>
      <c r="P7" s="163"/>
      <c r="Q7" s="163"/>
      <c r="R7" s="163"/>
      <c r="S7" s="136">
        <f>NETWORKDAYS(N7,K1,0)</f>
        <v>201</v>
      </c>
      <c r="U7" s="94"/>
      <c r="V7" s="94"/>
      <c r="W7" s="94"/>
    </row>
    <row r="8" spans="1:23" ht="24.95" hidden="1" customHeight="1" x14ac:dyDescent="0.3">
      <c r="A8" s="63">
        <v>1</v>
      </c>
      <c r="B8" s="63"/>
      <c r="C8" s="34" t="s">
        <v>43</v>
      </c>
      <c r="D8" s="18"/>
      <c r="E8" s="18"/>
      <c r="F8" s="18"/>
      <c r="G8" s="18"/>
      <c r="H8" s="18"/>
      <c r="I8" s="18"/>
      <c r="J8" s="18"/>
      <c r="K8" s="18"/>
      <c r="L8" s="18"/>
      <c r="M8" s="18"/>
      <c r="U8" s="94"/>
      <c r="V8" s="94"/>
      <c r="W8" s="94"/>
    </row>
    <row r="9" spans="1:23" ht="24.95" hidden="1" customHeight="1" x14ac:dyDescent="0.3">
      <c r="A9" s="63">
        <v>2</v>
      </c>
      <c r="B9" s="63"/>
      <c r="C9" s="34" t="s">
        <v>44</v>
      </c>
      <c r="D9" s="18"/>
      <c r="E9" s="18"/>
      <c r="F9" s="18"/>
      <c r="G9" s="18"/>
      <c r="H9" s="18"/>
      <c r="I9" s="18"/>
      <c r="J9" s="18"/>
      <c r="K9" s="18"/>
      <c r="L9" s="18"/>
      <c r="M9" s="18"/>
      <c r="U9" s="94"/>
      <c r="V9" s="94"/>
      <c r="W9" s="94"/>
    </row>
    <row r="10" spans="1:23" ht="24.95" hidden="1" customHeight="1" x14ac:dyDescent="0.3">
      <c r="A10" s="63">
        <v>3</v>
      </c>
      <c r="B10" s="63"/>
      <c r="C10" s="34" t="s">
        <v>45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U10" s="94"/>
      <c r="V10" s="94"/>
      <c r="W10" s="94"/>
    </row>
    <row r="11" spans="1:23" ht="24.95" hidden="1" customHeight="1" x14ac:dyDescent="0.3">
      <c r="A11" s="63">
        <v>4</v>
      </c>
      <c r="B11" s="63"/>
      <c r="C11" s="34" t="s">
        <v>46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U11" s="94"/>
      <c r="V11" s="94"/>
      <c r="W11" s="94"/>
    </row>
    <row r="12" spans="1:23" ht="24.95" hidden="1" customHeight="1" x14ac:dyDescent="0.3">
      <c r="A12" s="63">
        <v>5</v>
      </c>
      <c r="B12" s="63"/>
      <c r="C12" s="34" t="s">
        <v>47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U12" s="94"/>
      <c r="V12" s="94"/>
      <c r="W12" s="94"/>
    </row>
    <row r="13" spans="1:23" ht="24.95" hidden="1" customHeight="1" x14ac:dyDescent="0.3">
      <c r="A13" s="63">
        <v>6</v>
      </c>
      <c r="B13" s="63"/>
      <c r="C13" s="34" t="s">
        <v>48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U13" s="94"/>
      <c r="V13" s="94"/>
      <c r="W13" s="94"/>
    </row>
    <row r="14" spans="1:23" ht="24.95" hidden="1" customHeight="1" x14ac:dyDescent="0.3">
      <c r="A14" s="63">
        <v>7</v>
      </c>
      <c r="B14" s="63"/>
      <c r="C14" s="35" t="s">
        <v>49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U14" s="94"/>
      <c r="V14" s="94"/>
      <c r="W14" s="94"/>
    </row>
    <row r="15" spans="1:23" ht="24.95" hidden="1" customHeight="1" x14ac:dyDescent="0.3">
      <c r="A15" s="63">
        <v>8</v>
      </c>
      <c r="B15" s="63"/>
      <c r="C15" s="34" t="s">
        <v>50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U15" s="94"/>
      <c r="V15" s="94"/>
      <c r="W15" s="94"/>
    </row>
    <row r="16" spans="1:23" ht="24.95" hidden="1" customHeight="1" x14ac:dyDescent="0.3">
      <c r="A16" s="63">
        <v>9</v>
      </c>
      <c r="B16" s="63"/>
      <c r="C16" s="34" t="s">
        <v>51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U16" s="94"/>
      <c r="V16" s="94"/>
      <c r="W16" s="94"/>
    </row>
    <row r="17" spans="1:23" ht="24.95" hidden="1" customHeight="1" x14ac:dyDescent="0.3">
      <c r="A17" s="63">
        <v>10</v>
      </c>
      <c r="B17" s="63"/>
      <c r="C17" s="34" t="s">
        <v>52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U17" s="94"/>
      <c r="V17" s="94"/>
      <c r="W17" s="94"/>
    </row>
    <row r="18" spans="1:23" ht="24.95" hidden="1" customHeight="1" x14ac:dyDescent="0.3">
      <c r="A18" s="63">
        <v>11</v>
      </c>
      <c r="B18" s="63"/>
      <c r="C18" s="34" t="s">
        <v>53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U18" s="94"/>
      <c r="V18" s="94"/>
      <c r="W18" s="94"/>
    </row>
    <row r="19" spans="1:23" ht="24.95" hidden="1" customHeight="1" x14ac:dyDescent="0.3">
      <c r="A19" s="63">
        <v>12</v>
      </c>
      <c r="B19" s="63"/>
      <c r="C19" s="34" t="s">
        <v>54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U19" s="94"/>
      <c r="V19" s="94"/>
      <c r="W19" s="94"/>
    </row>
    <row r="20" spans="1:23" ht="24.95" hidden="1" customHeight="1" x14ac:dyDescent="0.3">
      <c r="A20" s="63">
        <v>13</v>
      </c>
      <c r="B20" s="63"/>
      <c r="C20" s="34" t="s">
        <v>55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U20" s="94"/>
      <c r="V20" s="94"/>
      <c r="W20" s="94"/>
    </row>
    <row r="21" spans="1:23" ht="24.95" hidden="1" customHeight="1" x14ac:dyDescent="0.3">
      <c r="A21" s="63">
        <v>14</v>
      </c>
      <c r="B21" s="63"/>
      <c r="C21" s="34" t="s">
        <v>56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U21" s="94"/>
      <c r="V21" s="94"/>
      <c r="W21" s="94"/>
    </row>
    <row r="22" spans="1:23" ht="24.95" hidden="1" customHeight="1" x14ac:dyDescent="0.3">
      <c r="A22" s="63">
        <v>15</v>
      </c>
      <c r="B22" s="63"/>
      <c r="C22" s="34" t="s">
        <v>57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U22" s="94"/>
      <c r="V22" s="94"/>
      <c r="W22" s="94"/>
    </row>
    <row r="23" spans="1:23" ht="24.95" hidden="1" customHeight="1" x14ac:dyDescent="0.3">
      <c r="A23" s="63">
        <v>16</v>
      </c>
      <c r="B23" s="63"/>
      <c r="C23" s="34" t="s">
        <v>58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U23" s="94"/>
      <c r="V23" s="94"/>
      <c r="W23" s="94"/>
    </row>
    <row r="24" spans="1:23" ht="24.95" hidden="1" customHeight="1" x14ac:dyDescent="0.3">
      <c r="A24" s="63">
        <v>17</v>
      </c>
      <c r="B24" s="63"/>
      <c r="C24" s="34" t="s">
        <v>59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U24" s="94"/>
      <c r="V24" s="94"/>
      <c r="W24" s="94"/>
    </row>
    <row r="25" spans="1:23" ht="24.95" hidden="1" customHeight="1" x14ac:dyDescent="0.3">
      <c r="A25" s="63">
        <v>18</v>
      </c>
      <c r="B25" s="63"/>
      <c r="D25" s="18"/>
      <c r="E25" s="18"/>
      <c r="F25" s="18"/>
      <c r="G25" s="18"/>
      <c r="H25" s="18"/>
      <c r="I25" s="18"/>
      <c r="J25" s="18"/>
      <c r="K25" s="18"/>
      <c r="L25" s="18"/>
      <c r="M25" s="18"/>
      <c r="U25" s="94"/>
      <c r="V25" s="94"/>
      <c r="W25" s="94"/>
    </row>
    <row r="26" spans="1:23" ht="24.95" hidden="1" customHeight="1" x14ac:dyDescent="0.3">
      <c r="A26" s="63">
        <v>19</v>
      </c>
      <c r="B26" s="63"/>
      <c r="C26" s="34"/>
      <c r="D26" s="18"/>
      <c r="E26" s="18"/>
      <c r="F26" s="18"/>
      <c r="G26" s="18"/>
      <c r="H26" s="18"/>
      <c r="I26" s="18"/>
      <c r="J26" s="18"/>
      <c r="K26" s="18"/>
      <c r="L26" s="18"/>
      <c r="M26" s="18"/>
      <c r="U26" s="94"/>
      <c r="V26" s="94"/>
      <c r="W26" s="94"/>
    </row>
    <row r="27" spans="1:23" ht="24.95" hidden="1" customHeight="1" x14ac:dyDescent="0.3">
      <c r="A27" s="63">
        <v>20</v>
      </c>
      <c r="B27" s="63"/>
      <c r="C27" s="35"/>
      <c r="D27" s="18"/>
      <c r="E27" s="18"/>
      <c r="F27" s="18"/>
      <c r="G27" s="18"/>
      <c r="H27" s="18"/>
      <c r="I27" s="18"/>
      <c r="J27" s="18"/>
      <c r="K27" s="18"/>
      <c r="L27" s="18"/>
      <c r="M27" s="18"/>
      <c r="U27" s="94"/>
      <c r="V27" s="94"/>
      <c r="W27" s="94"/>
    </row>
    <row r="28" spans="1:23" ht="24.95" hidden="1" customHeight="1" x14ac:dyDescent="0.3">
      <c r="A28" s="63">
        <v>21</v>
      </c>
      <c r="B28" s="63"/>
      <c r="C28" s="35"/>
      <c r="D28" s="18"/>
      <c r="E28" s="18"/>
      <c r="F28" s="18"/>
      <c r="G28" s="18"/>
      <c r="H28" s="18"/>
      <c r="I28" s="18"/>
      <c r="J28" s="18"/>
      <c r="K28" s="18"/>
      <c r="L28" s="18"/>
      <c r="M28" s="18"/>
      <c r="U28" s="94"/>
      <c r="V28" s="94"/>
      <c r="W28" s="94"/>
    </row>
    <row r="29" spans="1:23" ht="24.95" hidden="1" customHeight="1" x14ac:dyDescent="0.3">
      <c r="A29" s="63">
        <v>22</v>
      </c>
      <c r="B29" s="63"/>
      <c r="C29" s="35"/>
      <c r="D29" s="18"/>
      <c r="E29" s="18"/>
      <c r="F29" s="18"/>
      <c r="G29" s="18"/>
      <c r="H29" s="18"/>
      <c r="I29" s="18"/>
      <c r="J29" s="18"/>
      <c r="K29" s="18"/>
      <c r="L29" s="18"/>
      <c r="M29" s="18"/>
      <c r="U29" s="94"/>
      <c r="V29" s="94"/>
      <c r="W29" s="94"/>
    </row>
    <row r="30" spans="1:23" ht="24.95" hidden="1" customHeight="1" x14ac:dyDescent="0.3">
      <c r="A30" s="63">
        <v>23</v>
      </c>
      <c r="B30" s="63"/>
      <c r="C30" s="35"/>
      <c r="D30" s="18"/>
      <c r="E30" s="18"/>
      <c r="F30" s="18"/>
      <c r="G30" s="18"/>
      <c r="H30" s="18"/>
      <c r="I30" s="18"/>
      <c r="J30" s="18"/>
      <c r="K30" s="18"/>
      <c r="L30" s="18"/>
      <c r="M30" s="18"/>
      <c r="U30" s="94"/>
      <c r="V30" s="94"/>
      <c r="W30" s="94"/>
    </row>
    <row r="31" spans="1:23" ht="24.95" hidden="1" customHeight="1" x14ac:dyDescent="0.3">
      <c r="A31" s="63">
        <v>24</v>
      </c>
      <c r="B31" s="63"/>
      <c r="C31" s="35"/>
      <c r="D31" s="18"/>
      <c r="E31" s="18"/>
      <c r="F31" s="18"/>
      <c r="G31" s="18"/>
      <c r="H31" s="18"/>
      <c r="I31" s="18"/>
      <c r="J31" s="18"/>
      <c r="K31" s="18"/>
      <c r="L31" s="18"/>
      <c r="M31" s="18"/>
      <c r="U31" s="94"/>
      <c r="V31" s="94"/>
      <c r="W31" s="94"/>
    </row>
    <row r="32" spans="1:23" ht="24.95" hidden="1" customHeight="1" x14ac:dyDescent="0.3">
      <c r="A32" s="63">
        <v>25</v>
      </c>
      <c r="B32" s="63"/>
      <c r="C32" s="35"/>
      <c r="D32" s="18"/>
      <c r="E32" s="18"/>
      <c r="F32" s="18"/>
      <c r="G32" s="18"/>
      <c r="H32" s="18"/>
      <c r="I32" s="18"/>
      <c r="J32" s="18"/>
      <c r="K32" s="18"/>
      <c r="L32" s="18"/>
      <c r="M32" s="18"/>
      <c r="U32" s="94"/>
      <c r="V32" s="94"/>
      <c r="W32" s="94"/>
    </row>
    <row r="33" spans="1:23" ht="24.95" hidden="1" customHeight="1" x14ac:dyDescent="0.3">
      <c r="A33" s="63">
        <v>26</v>
      </c>
      <c r="B33" s="63"/>
      <c r="C33" s="35"/>
      <c r="D33" s="18"/>
      <c r="E33" s="18"/>
      <c r="F33" s="18"/>
      <c r="G33" s="18"/>
      <c r="H33" s="18"/>
      <c r="I33" s="18"/>
      <c r="J33" s="18"/>
      <c r="K33" s="18"/>
      <c r="L33" s="18"/>
      <c r="M33" s="18"/>
      <c r="U33" s="94"/>
      <c r="V33" s="94"/>
      <c r="W33" s="94"/>
    </row>
    <row r="34" spans="1:23" ht="24.95" customHeight="1" x14ac:dyDescent="0.2">
      <c r="A34" s="169" t="s">
        <v>17</v>
      </c>
      <c r="B34" s="170"/>
      <c r="C34" s="143" t="s">
        <v>7</v>
      </c>
      <c r="D34" s="145" t="s">
        <v>0</v>
      </c>
      <c r="E34" s="147" t="s">
        <v>21</v>
      </c>
      <c r="F34" s="148"/>
      <c r="G34" s="148"/>
      <c r="H34" s="149"/>
      <c r="I34" s="159" t="s">
        <v>22</v>
      </c>
      <c r="J34" s="160"/>
      <c r="K34" s="161"/>
      <c r="L34" s="150" t="s">
        <v>5</v>
      </c>
      <c r="M34" s="151"/>
      <c r="N34" s="64"/>
      <c r="P34" s="165" t="s">
        <v>60</v>
      </c>
      <c r="Q34" s="65"/>
      <c r="R34" s="162"/>
      <c r="S34" s="162"/>
      <c r="T34" s="66"/>
      <c r="U34" s="94"/>
      <c r="V34" s="94"/>
      <c r="W34" s="94"/>
    </row>
    <row r="35" spans="1:23" ht="69.75" customHeight="1" x14ac:dyDescent="0.25">
      <c r="A35" s="171"/>
      <c r="B35" s="172"/>
      <c r="C35" s="144"/>
      <c r="D35" s="146"/>
      <c r="E35" s="3" t="s">
        <v>33</v>
      </c>
      <c r="F35" s="4" t="s">
        <v>15</v>
      </c>
      <c r="G35" s="5" t="s">
        <v>8</v>
      </c>
      <c r="H35" s="5" t="s">
        <v>9</v>
      </c>
      <c r="I35" s="41" t="s">
        <v>23</v>
      </c>
      <c r="J35" s="41" t="s">
        <v>24</v>
      </c>
      <c r="K35" s="42" t="s">
        <v>20</v>
      </c>
      <c r="L35" s="152"/>
      <c r="M35" s="153"/>
      <c r="O35" s="66" t="s">
        <v>61</v>
      </c>
      <c r="P35" s="165"/>
      <c r="Q35" s="65"/>
      <c r="R35" s="68" t="s">
        <v>63</v>
      </c>
      <c r="U35" s="117"/>
      <c r="V35" s="117"/>
      <c r="W35" s="118"/>
    </row>
    <row r="36" spans="1:23" ht="30" customHeight="1" x14ac:dyDescent="0.25">
      <c r="A36" s="157"/>
      <c r="B36" s="158"/>
      <c r="C36" s="20" t="s">
        <v>25</v>
      </c>
      <c r="D36" s="21"/>
      <c r="E36" s="21"/>
      <c r="F36" s="21"/>
      <c r="G36" s="21"/>
      <c r="H36" s="21"/>
      <c r="I36" s="43"/>
      <c r="J36" s="43"/>
      <c r="K36" s="43"/>
      <c r="L36" s="139"/>
      <c r="M36" s="140"/>
      <c r="R36" s="69"/>
      <c r="U36" s="94"/>
      <c r="V36" s="94"/>
      <c r="W36" s="94"/>
    </row>
    <row r="37" spans="1:23" ht="24.95" customHeight="1" x14ac:dyDescent="0.25">
      <c r="A37" s="157">
        <f>IFERROR(VLOOKUP(C37,Reference!$B$4:$F$24,5,FALSE),"")</f>
        <v>50080</v>
      </c>
      <c r="B37" s="158"/>
      <c r="C37" s="22" t="str">
        <f>Reference!B4</f>
        <v>Employee 1</v>
      </c>
      <c r="D37" s="23"/>
      <c r="E37" s="24"/>
      <c r="F37" s="24">
        <f>G37-E37</f>
        <v>0</v>
      </c>
      <c r="G37" s="24"/>
      <c r="H37" s="25">
        <f t="shared" ref="H37:H46" si="0">D37-G37</f>
        <v>0</v>
      </c>
      <c r="I37" s="44">
        <f>IFERROR(P37*R37,0)</f>
        <v>0</v>
      </c>
      <c r="J37" s="44">
        <f t="shared" ref="J37:J74" si="1">G37+I37</f>
        <v>0</v>
      </c>
      <c r="K37" s="45">
        <f>D37-J37</f>
        <v>0</v>
      </c>
      <c r="L37" s="154"/>
      <c r="M37" s="155"/>
      <c r="O37" s="71">
        <f>IFERROR(VLOOKUP(C37,Reference!$B$4:$G$17,6,FALSE),0)</f>
        <v>0</v>
      </c>
      <c r="P37" s="83">
        <f>IFERROR(O37*S$7,0)</f>
        <v>0</v>
      </c>
      <c r="Q37" s="83"/>
      <c r="R37" s="85"/>
      <c r="U37" s="119"/>
      <c r="V37" s="94"/>
      <c r="W37" s="120"/>
    </row>
    <row r="38" spans="1:23" ht="24.95" customHeight="1" x14ac:dyDescent="0.25">
      <c r="A38" s="157">
        <f>IFERROR(VLOOKUP(C38,Reference!$B$4:$F$24,5,FALSE),"")</f>
        <v>50030</v>
      </c>
      <c r="B38" s="158"/>
      <c r="C38" s="22" t="str">
        <f>Reference!B5</f>
        <v>Employee 2</v>
      </c>
      <c r="D38" s="23"/>
      <c r="E38" s="24"/>
      <c r="F38" s="24">
        <f t="shared" ref="F38:F46" si="2">G38-E38</f>
        <v>0</v>
      </c>
      <c r="G38" s="24"/>
      <c r="H38" s="25">
        <f t="shared" si="0"/>
        <v>0</v>
      </c>
      <c r="I38" s="44">
        <f t="shared" ref="I38:I46" si="3">IFERROR(P38*R38,0)</f>
        <v>0</v>
      </c>
      <c r="J38" s="44">
        <f t="shared" si="1"/>
        <v>0</v>
      </c>
      <c r="K38" s="45">
        <f>D38-J38</f>
        <v>0</v>
      </c>
      <c r="L38" s="154"/>
      <c r="M38" s="155"/>
      <c r="O38" s="71">
        <f>IFERROR(VLOOKUP(C38,Reference!$B$4:$G$17,6,FALSE),0)</f>
        <v>191.57088122605364</v>
      </c>
      <c r="P38" s="83">
        <f>IFERROR(O38*S$7,0)</f>
        <v>38505.747126436785</v>
      </c>
      <c r="Q38" s="83"/>
      <c r="R38" s="85"/>
      <c r="U38" s="119"/>
      <c r="V38" s="94"/>
      <c r="W38" s="120"/>
    </row>
    <row r="39" spans="1:23" ht="24.95" customHeight="1" x14ac:dyDescent="0.25">
      <c r="A39" s="157">
        <f>IFERROR(VLOOKUP(C39,Reference!$B$4:$F$24,5,FALSE),"")</f>
        <v>50050</v>
      </c>
      <c r="B39" s="158"/>
      <c r="C39" s="22" t="str">
        <f>Reference!B6</f>
        <v>Employee 3</v>
      </c>
      <c r="D39" s="23"/>
      <c r="E39" s="24"/>
      <c r="F39" s="24">
        <f t="shared" si="2"/>
        <v>0</v>
      </c>
      <c r="G39" s="24"/>
      <c r="H39" s="25">
        <f t="shared" si="0"/>
        <v>0</v>
      </c>
      <c r="I39" s="44">
        <f t="shared" si="3"/>
        <v>0</v>
      </c>
      <c r="J39" s="44">
        <f t="shared" si="1"/>
        <v>0</v>
      </c>
      <c r="K39" s="45">
        <f t="shared" ref="K39:K45" si="4">D39-J39</f>
        <v>0</v>
      </c>
      <c r="L39" s="154"/>
      <c r="M39" s="155"/>
      <c r="O39" s="71">
        <f>IFERROR(VLOOKUP(C39,Reference!$B$4:$G$17,6,FALSE),0)</f>
        <v>0</v>
      </c>
      <c r="P39" s="83">
        <f t="shared" ref="P39:P46" si="5">IFERROR(O39*S$7,0)</f>
        <v>0</v>
      </c>
      <c r="Q39" s="83"/>
      <c r="R39" s="85"/>
      <c r="U39" s="119"/>
      <c r="V39" s="94"/>
      <c r="W39" s="120"/>
    </row>
    <row r="40" spans="1:23" ht="24.95" customHeight="1" x14ac:dyDescent="0.25">
      <c r="A40" s="157">
        <f>IFERROR(VLOOKUP(C40,Reference!$B$4:$F$24,5,FALSE),"")</f>
        <v>50010</v>
      </c>
      <c r="B40" s="158"/>
      <c r="C40" s="22" t="str">
        <f>Reference!B7</f>
        <v>Employee 4</v>
      </c>
      <c r="D40" s="23"/>
      <c r="E40" s="24"/>
      <c r="F40" s="24">
        <f t="shared" si="2"/>
        <v>0</v>
      </c>
      <c r="G40" s="24"/>
      <c r="H40" s="25">
        <f t="shared" si="0"/>
        <v>0</v>
      </c>
      <c r="I40" s="44">
        <f>IFERROR(P40*R40,0)</f>
        <v>0</v>
      </c>
      <c r="J40" s="44">
        <f t="shared" si="1"/>
        <v>0</v>
      </c>
      <c r="K40" s="45">
        <f t="shared" si="4"/>
        <v>0</v>
      </c>
      <c r="L40" s="166"/>
      <c r="M40" s="167"/>
      <c r="O40" s="71">
        <f>IFERROR(VLOOKUP(C40,Reference!$B$4:$G$17,6,FALSE),0)</f>
        <v>766.28352490421457</v>
      </c>
      <c r="P40" s="83">
        <f t="shared" si="5"/>
        <v>154022.98850574714</v>
      </c>
      <c r="Q40" s="83"/>
      <c r="R40" s="85"/>
      <c r="U40" s="119"/>
      <c r="V40" s="94"/>
      <c r="W40" s="120"/>
    </row>
    <row r="41" spans="1:23" ht="24.95" customHeight="1" x14ac:dyDescent="0.25">
      <c r="A41" s="157" t="str">
        <f>IFERROR(VLOOKUP(C41,Reference!$B$4:$F$24,5,FALSE),"")</f>
        <v/>
      </c>
      <c r="B41" s="158"/>
      <c r="C41" s="22" t="str">
        <f>Reference!B8</f>
        <v>Employee 5</v>
      </c>
      <c r="D41" s="23"/>
      <c r="E41" s="24"/>
      <c r="F41" s="24">
        <f t="shared" si="2"/>
        <v>0</v>
      </c>
      <c r="G41" s="24"/>
      <c r="H41" s="25">
        <f t="shared" si="0"/>
        <v>0</v>
      </c>
      <c r="I41" s="44">
        <f t="shared" si="3"/>
        <v>0</v>
      </c>
      <c r="J41" s="44">
        <f t="shared" si="1"/>
        <v>0</v>
      </c>
      <c r="K41" s="45">
        <f t="shared" si="4"/>
        <v>0</v>
      </c>
      <c r="L41" s="139"/>
      <c r="M41" s="140"/>
      <c r="O41" s="71">
        <f>IFERROR(VLOOKUP(C41,Reference!$B$4:$G$17,6,FALSE),0)</f>
        <v>0</v>
      </c>
      <c r="P41" s="83">
        <f t="shared" si="5"/>
        <v>0</v>
      </c>
      <c r="Q41" s="83"/>
      <c r="R41" s="85"/>
      <c r="U41" s="119"/>
      <c r="V41" s="94"/>
      <c r="W41" s="120"/>
    </row>
    <row r="42" spans="1:23" ht="24.95" customHeight="1" x14ac:dyDescent="0.25">
      <c r="A42" s="157" t="str">
        <f>IFERROR(VLOOKUP(C42,Reference!$B$4:$F$24,5,FALSE),"")</f>
        <v/>
      </c>
      <c r="B42" s="158"/>
      <c r="C42" s="22" t="str">
        <f>Reference!B9</f>
        <v>Employee 6</v>
      </c>
      <c r="D42" s="23"/>
      <c r="E42" s="24"/>
      <c r="F42" s="24">
        <f>G42-E42</f>
        <v>0</v>
      </c>
      <c r="G42" s="24"/>
      <c r="H42" s="25">
        <f>D42-G42</f>
        <v>0</v>
      </c>
      <c r="I42" s="44">
        <f t="shared" si="3"/>
        <v>0</v>
      </c>
      <c r="J42" s="44">
        <f t="shared" si="1"/>
        <v>0</v>
      </c>
      <c r="K42" s="45">
        <f t="shared" si="4"/>
        <v>0</v>
      </c>
      <c r="L42" s="139"/>
      <c r="M42" s="140"/>
      <c r="O42" s="71">
        <f>IFERROR(VLOOKUP(C42,Reference!$B$4:$G$17,6,FALSE),0)</f>
        <v>0</v>
      </c>
      <c r="P42" s="83">
        <f t="shared" si="5"/>
        <v>0</v>
      </c>
      <c r="Q42" s="83"/>
      <c r="R42" s="85"/>
      <c r="U42" s="119"/>
      <c r="V42" s="94"/>
      <c r="W42" s="120"/>
    </row>
    <row r="43" spans="1:23" ht="24.95" customHeight="1" x14ac:dyDescent="0.25">
      <c r="A43" s="157" t="str">
        <f>IFERROR(VLOOKUP(C43,Reference!$B$4:$F$24,5,FALSE),"")</f>
        <v/>
      </c>
      <c r="B43" s="158"/>
      <c r="C43" s="22" t="str">
        <f>Reference!B10</f>
        <v>Employee 7</v>
      </c>
      <c r="D43" s="23"/>
      <c r="E43" s="24"/>
      <c r="F43" s="24">
        <f>G43-E43</f>
        <v>0</v>
      </c>
      <c r="G43" s="24"/>
      <c r="H43" s="25">
        <f>D43-G43</f>
        <v>0</v>
      </c>
      <c r="I43" s="44">
        <f t="shared" si="3"/>
        <v>0</v>
      </c>
      <c r="J43" s="44">
        <f t="shared" si="1"/>
        <v>0</v>
      </c>
      <c r="K43" s="45">
        <f t="shared" si="4"/>
        <v>0</v>
      </c>
      <c r="L43" s="139"/>
      <c r="M43" s="140"/>
      <c r="O43" s="71">
        <f>IFERROR(VLOOKUP(C43,Reference!$B$4:$G$17,6,FALSE),0)</f>
        <v>0</v>
      </c>
      <c r="P43" s="83">
        <f t="shared" si="5"/>
        <v>0</v>
      </c>
      <c r="Q43" s="83"/>
      <c r="R43" s="85"/>
      <c r="U43" s="119"/>
      <c r="V43" s="94"/>
      <c r="W43" s="120"/>
    </row>
    <row r="44" spans="1:23" ht="24.95" customHeight="1" x14ac:dyDescent="0.25">
      <c r="A44" s="157" t="str">
        <f>IFERROR(VLOOKUP(C44,Reference!$B$4:$F$24,5,FALSE),"")</f>
        <v/>
      </c>
      <c r="B44" s="158"/>
      <c r="C44" s="22" t="str">
        <f>Reference!B11</f>
        <v>Employee 8</v>
      </c>
      <c r="D44" s="23"/>
      <c r="E44" s="24"/>
      <c r="F44" s="24">
        <f>G44-E44</f>
        <v>0</v>
      </c>
      <c r="G44" s="24"/>
      <c r="H44" s="25">
        <f>D44-G44</f>
        <v>0</v>
      </c>
      <c r="I44" s="44">
        <f t="shared" si="3"/>
        <v>0</v>
      </c>
      <c r="J44" s="44">
        <f t="shared" si="1"/>
        <v>0</v>
      </c>
      <c r="K44" s="45">
        <f t="shared" si="4"/>
        <v>0</v>
      </c>
      <c r="L44" s="139"/>
      <c r="M44" s="140"/>
      <c r="O44" s="71">
        <f>IFERROR(VLOOKUP(C44,Reference!$B$4:$G$17,6,FALSE),0)</f>
        <v>0</v>
      </c>
      <c r="P44" s="83">
        <f t="shared" si="5"/>
        <v>0</v>
      </c>
      <c r="Q44" s="83"/>
      <c r="R44" s="85"/>
      <c r="U44" s="119"/>
      <c r="V44" s="94"/>
      <c r="W44" s="120"/>
    </row>
    <row r="45" spans="1:23" ht="24.95" customHeight="1" x14ac:dyDescent="0.25">
      <c r="A45" s="157" t="str">
        <f>IFERROR(VLOOKUP(C45,Reference!$B$4:$F$24,5,FALSE),"")</f>
        <v/>
      </c>
      <c r="B45" s="158"/>
      <c r="C45" s="22" t="str">
        <f>Reference!B12</f>
        <v>Employee 9</v>
      </c>
      <c r="D45" s="23"/>
      <c r="E45" s="24"/>
      <c r="F45" s="24">
        <f>G45-E45</f>
        <v>0</v>
      </c>
      <c r="G45" s="24"/>
      <c r="H45" s="25">
        <f>D45-G45</f>
        <v>0</v>
      </c>
      <c r="I45" s="44">
        <f t="shared" si="3"/>
        <v>0</v>
      </c>
      <c r="J45" s="44">
        <f t="shared" si="1"/>
        <v>0</v>
      </c>
      <c r="K45" s="45">
        <f t="shared" si="4"/>
        <v>0</v>
      </c>
      <c r="L45" s="139"/>
      <c r="M45" s="140"/>
      <c r="O45" s="71">
        <f>IFERROR(VLOOKUP(C45,Reference!$B$4:$G$17,6,FALSE),0)</f>
        <v>0</v>
      </c>
      <c r="P45" s="83">
        <f t="shared" si="5"/>
        <v>0</v>
      </c>
      <c r="Q45" s="83"/>
      <c r="R45" s="85"/>
      <c r="U45" s="119"/>
      <c r="V45" s="94"/>
      <c r="W45" s="120"/>
    </row>
    <row r="46" spans="1:23" ht="24.95" customHeight="1" x14ac:dyDescent="0.25">
      <c r="A46" s="157" t="str">
        <f>IFERROR(VLOOKUP(C46,Reference!$B$4:$F$24,5,FALSE),"")</f>
        <v/>
      </c>
      <c r="B46" s="158"/>
      <c r="C46" s="22" t="str">
        <f>Reference!B13</f>
        <v>Employee 10</v>
      </c>
      <c r="D46" s="23"/>
      <c r="E46" s="24">
        <v>0</v>
      </c>
      <c r="F46" s="24">
        <f t="shared" si="2"/>
        <v>0</v>
      </c>
      <c r="G46" s="24"/>
      <c r="H46" s="25">
        <f t="shared" si="0"/>
        <v>0</v>
      </c>
      <c r="I46" s="44">
        <f t="shared" si="3"/>
        <v>0</v>
      </c>
      <c r="J46" s="44">
        <f t="shared" si="1"/>
        <v>0</v>
      </c>
      <c r="K46" s="45">
        <f>D46-J46</f>
        <v>0</v>
      </c>
      <c r="L46" s="139"/>
      <c r="M46" s="140"/>
      <c r="O46" s="71">
        <f>IFERROR(VLOOKUP(C46,Reference!$B$4:$G$17,6,FALSE),0)</f>
        <v>0</v>
      </c>
      <c r="P46" s="83">
        <f t="shared" si="5"/>
        <v>0</v>
      </c>
      <c r="Q46" s="83"/>
      <c r="R46" s="86"/>
      <c r="U46" s="119"/>
      <c r="V46" s="94"/>
      <c r="W46" s="120"/>
    </row>
    <row r="47" spans="1:23" ht="24.95" customHeight="1" x14ac:dyDescent="0.25">
      <c r="A47" s="157">
        <v>50120</v>
      </c>
      <c r="B47" s="158"/>
      <c r="C47" s="22" t="s">
        <v>70</v>
      </c>
      <c r="D47" s="23"/>
      <c r="E47" s="37"/>
      <c r="F47" s="37">
        <f>G47-E47</f>
        <v>0</v>
      </c>
      <c r="G47" s="37">
        <v>0</v>
      </c>
      <c r="H47" s="38">
        <f>D47-G47</f>
        <v>0</v>
      </c>
      <c r="I47" s="58"/>
      <c r="J47" s="44">
        <f t="shared" si="1"/>
        <v>0</v>
      </c>
      <c r="K47" s="45">
        <f>D47-(G47+I47)</f>
        <v>0</v>
      </c>
      <c r="L47" s="139"/>
      <c r="M47" s="140"/>
      <c r="O47" s="71"/>
      <c r="P47" s="67"/>
      <c r="Q47" s="67"/>
      <c r="R47" s="86"/>
      <c r="U47" s="119"/>
      <c r="V47" s="94"/>
      <c r="W47" s="120"/>
    </row>
    <row r="48" spans="1:23" ht="24.95" customHeight="1" x14ac:dyDescent="0.25">
      <c r="A48" s="157">
        <v>50080</v>
      </c>
      <c r="B48" s="158"/>
      <c r="C48" s="22" t="s">
        <v>76</v>
      </c>
      <c r="D48" s="23"/>
      <c r="E48" s="37"/>
      <c r="F48" s="37">
        <f>G48-E48</f>
        <v>0</v>
      </c>
      <c r="G48" s="37">
        <v>0</v>
      </c>
      <c r="H48" s="38">
        <f>D48-G48</f>
        <v>0</v>
      </c>
      <c r="I48" s="58">
        <f>O48*R48</f>
        <v>0</v>
      </c>
      <c r="J48" s="44">
        <f t="shared" si="1"/>
        <v>0</v>
      </c>
      <c r="K48" s="45">
        <f>D48-(G48+I48)</f>
        <v>0</v>
      </c>
      <c r="L48" s="139"/>
      <c r="M48" s="140"/>
      <c r="O48" s="71"/>
      <c r="P48" s="67"/>
      <c r="Q48" s="67"/>
      <c r="R48" s="86"/>
      <c r="U48" s="119"/>
      <c r="V48" s="94"/>
      <c r="W48" s="120"/>
    </row>
    <row r="49" spans="1:23" ht="24.95" customHeight="1" x14ac:dyDescent="0.25">
      <c r="A49" s="157">
        <v>50090</v>
      </c>
      <c r="B49" s="158"/>
      <c r="C49" s="22" t="s">
        <v>6</v>
      </c>
      <c r="D49" s="23"/>
      <c r="E49" s="37"/>
      <c r="F49" s="37">
        <f>G49-E49</f>
        <v>0</v>
      </c>
      <c r="G49" s="37">
        <v>0</v>
      </c>
      <c r="H49" s="38">
        <f>D49-G49</f>
        <v>0</v>
      </c>
      <c r="I49" s="44">
        <f>W54</f>
        <v>0</v>
      </c>
      <c r="J49" s="44">
        <f t="shared" si="1"/>
        <v>0</v>
      </c>
      <c r="K49" s="45">
        <f t="shared" ref="K49:K54" si="6">D49-J49</f>
        <v>0</v>
      </c>
      <c r="L49" s="139"/>
      <c r="M49" s="140"/>
      <c r="O49" s="72"/>
      <c r="P49" s="70"/>
      <c r="Q49" s="70"/>
      <c r="R49" s="86"/>
      <c r="U49" s="119"/>
      <c r="V49" s="94"/>
      <c r="W49" s="120"/>
    </row>
    <row r="50" spans="1:23" ht="24.95" customHeight="1" x14ac:dyDescent="0.55000000000000004">
      <c r="A50" s="157"/>
      <c r="B50" s="158"/>
      <c r="C50" s="26" t="s">
        <v>26</v>
      </c>
      <c r="D50" s="31">
        <f>SUM(D37:D49)</f>
        <v>0</v>
      </c>
      <c r="E50" s="31">
        <f t="shared" ref="E50:I50" si="7">SUM(E37:E49)</f>
        <v>0</v>
      </c>
      <c r="F50" s="31">
        <f t="shared" si="7"/>
        <v>0</v>
      </c>
      <c r="G50" s="31">
        <f t="shared" si="7"/>
        <v>0</v>
      </c>
      <c r="H50" s="31">
        <f t="shared" si="7"/>
        <v>0</v>
      </c>
      <c r="I50" s="62">
        <f t="shared" si="7"/>
        <v>0</v>
      </c>
      <c r="J50" s="62">
        <f t="shared" ref="J50" si="8">SUM(J37:J49)</f>
        <v>0</v>
      </c>
      <c r="K50" s="62">
        <f t="shared" ref="K50" si="9">SUM(K37:K49)</f>
        <v>0</v>
      </c>
      <c r="L50" s="139"/>
      <c r="M50" s="140"/>
      <c r="O50" s="72"/>
      <c r="P50" s="66"/>
      <c r="Q50" s="66"/>
      <c r="R50" s="87"/>
      <c r="U50" s="119"/>
      <c r="V50" s="94"/>
      <c r="W50" s="120"/>
    </row>
    <row r="51" spans="1:23" ht="24.95" customHeight="1" x14ac:dyDescent="0.3">
      <c r="A51" s="157">
        <v>51110</v>
      </c>
      <c r="B51" s="158"/>
      <c r="C51" s="27" t="s">
        <v>1</v>
      </c>
      <c r="D51" s="28">
        <v>0</v>
      </c>
      <c r="E51" s="29"/>
      <c r="F51" s="39">
        <f>G51-E51</f>
        <v>0</v>
      </c>
      <c r="G51" s="37">
        <f>O101</f>
        <v>0</v>
      </c>
      <c r="H51" s="38">
        <f>D51-G51</f>
        <v>0</v>
      </c>
      <c r="I51" s="49">
        <f ca="1">SUMIF(A37:B49,"50010",I37:I49)*Reference!K4+SUMIF(A37:B46,"50060",I37:I46)*Reference!K9+SUMIF(A37:B46,"50050",I37:I46)*Reference!K10+SUMIF(A37:B46,"50020",I37:I46)*Reference!K4+SUMIF(A37:B46,"50040",I37:I46)*Reference!K4+SUMIF(A37:B46,"50030",I37:I46)*Reference!K4+SUMIF(A37:B46,"50100",I37:I46)*Reference!K4</f>
        <v>0</v>
      </c>
      <c r="J51" s="44">
        <f t="shared" ca="1" si="1"/>
        <v>0</v>
      </c>
      <c r="K51" s="45">
        <f t="shared" ca="1" si="6"/>
        <v>0</v>
      </c>
      <c r="L51" s="139"/>
      <c r="M51" s="140"/>
      <c r="O51" s="71"/>
      <c r="R51" s="87"/>
      <c r="U51" s="119"/>
      <c r="V51" s="94"/>
      <c r="W51" s="120"/>
    </row>
    <row r="52" spans="1:23" ht="24.95" customHeight="1" x14ac:dyDescent="0.3">
      <c r="A52" s="157">
        <v>51250</v>
      </c>
      <c r="B52" s="158"/>
      <c r="C52" s="27" t="s">
        <v>10</v>
      </c>
      <c r="D52" s="30">
        <f>SUM(D47:D48)*0.062</f>
        <v>0</v>
      </c>
      <c r="E52" s="29"/>
      <c r="F52" s="39">
        <f>G52-E52</f>
        <v>0</v>
      </c>
      <c r="G52" s="24">
        <v>0</v>
      </c>
      <c r="H52" s="25">
        <f>D52-G52</f>
        <v>0</v>
      </c>
      <c r="I52" s="49">
        <f>SUM(I47:I48)*0.062</f>
        <v>0</v>
      </c>
      <c r="J52" s="44">
        <f t="shared" si="1"/>
        <v>0</v>
      </c>
      <c r="K52" s="45">
        <f t="shared" si="6"/>
        <v>0</v>
      </c>
      <c r="L52" s="139"/>
      <c r="M52" s="140"/>
      <c r="O52" s="8"/>
      <c r="R52" s="87"/>
      <c r="U52" s="94"/>
      <c r="V52" s="94"/>
      <c r="W52" s="120"/>
    </row>
    <row r="53" spans="1:23" ht="24.95" customHeight="1" x14ac:dyDescent="0.3">
      <c r="A53" s="157">
        <v>51260</v>
      </c>
      <c r="B53" s="158"/>
      <c r="C53" s="27" t="s">
        <v>11</v>
      </c>
      <c r="D53" s="30">
        <f>SUM(D47:D48)*0.0145</f>
        <v>0</v>
      </c>
      <c r="E53" s="29"/>
      <c r="F53" s="39">
        <f>G53-E53</f>
        <v>0</v>
      </c>
      <c r="G53" s="24">
        <v>0</v>
      </c>
      <c r="H53" s="25">
        <f>D53-G53</f>
        <v>0</v>
      </c>
      <c r="I53" s="49">
        <f>SUM(I47:I48)*0.0145</f>
        <v>0</v>
      </c>
      <c r="J53" s="44">
        <f t="shared" si="1"/>
        <v>0</v>
      </c>
      <c r="K53" s="45">
        <f t="shared" si="6"/>
        <v>0</v>
      </c>
      <c r="L53" s="139"/>
      <c r="M53" s="140"/>
      <c r="O53" s="8"/>
      <c r="R53" s="87"/>
      <c r="U53" s="94"/>
      <c r="V53" s="94"/>
      <c r="W53" s="120"/>
    </row>
    <row r="54" spans="1:23" ht="24.95" customHeight="1" x14ac:dyDescent="0.55000000000000004">
      <c r="A54" s="157"/>
      <c r="B54" s="158"/>
      <c r="C54" s="26" t="s">
        <v>27</v>
      </c>
      <c r="D54" s="31">
        <f>D50+D51+D52+D53</f>
        <v>0</v>
      </c>
      <c r="E54" s="31">
        <f>SUM(E50:E53)</f>
        <v>0</v>
      </c>
      <c r="F54" s="31">
        <f>F50+F51+F52+F53</f>
        <v>0</v>
      </c>
      <c r="G54" s="31">
        <f>SUM(G50:G53)</f>
        <v>0</v>
      </c>
      <c r="H54" s="31">
        <f>H50+H51+H52+H53</f>
        <v>0</v>
      </c>
      <c r="I54" s="48">
        <f ca="1">SUM(I50:I53)</f>
        <v>0</v>
      </c>
      <c r="J54" s="46">
        <f t="shared" ca="1" si="1"/>
        <v>0</v>
      </c>
      <c r="K54" s="47">
        <f t="shared" ca="1" si="6"/>
        <v>0</v>
      </c>
      <c r="L54" s="139"/>
      <c r="M54" s="140"/>
      <c r="O54" s="8">
        <f>SUM(G51:G53)</f>
        <v>0</v>
      </c>
      <c r="R54" s="87"/>
      <c r="U54" s="94"/>
      <c r="V54" s="94"/>
      <c r="W54" s="121"/>
    </row>
    <row r="55" spans="1:23" ht="24.95" hidden="1" customHeight="1" x14ac:dyDescent="0.55000000000000004">
      <c r="A55" s="90"/>
      <c r="B55" s="91"/>
      <c r="C55" s="55" t="s">
        <v>36</v>
      </c>
      <c r="D55" s="31"/>
      <c r="E55" s="31"/>
      <c r="F55" s="31"/>
      <c r="G55" s="31"/>
      <c r="H55" s="31"/>
      <c r="I55" s="48"/>
      <c r="J55" s="46"/>
      <c r="K55" s="47"/>
      <c r="L55" s="139"/>
      <c r="M55" s="140"/>
      <c r="O55" s="8"/>
      <c r="R55" s="87"/>
      <c r="U55" s="94"/>
      <c r="V55" s="94"/>
      <c r="W55" s="121"/>
    </row>
    <row r="56" spans="1:23" ht="24.95" hidden="1" customHeight="1" x14ac:dyDescent="0.55000000000000004">
      <c r="A56" s="90"/>
      <c r="B56" s="91"/>
      <c r="C56" s="55" t="s">
        <v>32</v>
      </c>
      <c r="D56" s="31"/>
      <c r="E56" s="31"/>
      <c r="F56" s="31"/>
      <c r="G56" s="31"/>
      <c r="H56" s="31"/>
      <c r="I56" s="48"/>
      <c r="J56" s="46"/>
      <c r="K56" s="47"/>
      <c r="L56" s="139"/>
      <c r="M56" s="140"/>
      <c r="O56" s="8"/>
      <c r="R56" s="87"/>
      <c r="U56" s="94"/>
      <c r="V56" s="94"/>
      <c r="W56" s="121"/>
    </row>
    <row r="57" spans="1:23" ht="24.95" hidden="1" customHeight="1" x14ac:dyDescent="0.55000000000000004">
      <c r="A57" s="90"/>
      <c r="B57" s="91"/>
      <c r="C57" s="55" t="s">
        <v>71</v>
      </c>
      <c r="D57" s="31"/>
      <c r="E57" s="31"/>
      <c r="F57" s="31"/>
      <c r="G57" s="31"/>
      <c r="H57" s="31"/>
      <c r="I57" s="48"/>
      <c r="J57" s="46"/>
      <c r="K57" s="47"/>
      <c r="L57" s="139"/>
      <c r="M57" s="140"/>
      <c r="O57" s="8"/>
      <c r="R57" s="87"/>
      <c r="U57" s="94"/>
      <c r="V57" s="94"/>
      <c r="W57" s="121"/>
    </row>
    <row r="58" spans="1:23" ht="24.95" hidden="1" customHeight="1" x14ac:dyDescent="0.55000000000000004">
      <c r="A58" s="90"/>
      <c r="B58" s="91"/>
      <c r="C58" s="55" t="s">
        <v>73</v>
      </c>
      <c r="D58" s="31"/>
      <c r="E58" s="31"/>
      <c r="F58" s="31"/>
      <c r="G58" s="31"/>
      <c r="H58" s="31"/>
      <c r="I58" s="48"/>
      <c r="J58" s="46"/>
      <c r="K58" s="47"/>
      <c r="L58" s="139"/>
      <c r="M58" s="140"/>
      <c r="O58" s="8"/>
      <c r="R58" s="87"/>
      <c r="U58" s="94"/>
      <c r="V58" s="94"/>
      <c r="W58" s="121"/>
    </row>
    <row r="59" spans="1:23" ht="24.95" hidden="1" customHeight="1" x14ac:dyDescent="0.55000000000000004">
      <c r="A59" s="90"/>
      <c r="B59" s="91"/>
      <c r="C59" s="55" t="s">
        <v>72</v>
      </c>
      <c r="D59" s="31"/>
      <c r="E59" s="31"/>
      <c r="F59" s="31"/>
      <c r="G59" s="31"/>
      <c r="H59" s="31"/>
      <c r="I59" s="48"/>
      <c r="J59" s="46"/>
      <c r="K59" s="47"/>
      <c r="L59" s="139"/>
      <c r="M59" s="140"/>
      <c r="O59" s="8"/>
      <c r="R59" s="87"/>
      <c r="U59" s="94"/>
      <c r="V59" s="94"/>
      <c r="W59" s="121"/>
    </row>
    <row r="60" spans="1:23" ht="24.95" hidden="1" customHeight="1" x14ac:dyDescent="0.55000000000000004">
      <c r="A60" s="90"/>
      <c r="B60" s="91"/>
      <c r="C60" s="55" t="s">
        <v>3</v>
      </c>
      <c r="D60" s="31"/>
      <c r="E60" s="31"/>
      <c r="F60" s="31"/>
      <c r="G60" s="31"/>
      <c r="H60" s="31"/>
      <c r="I60" s="48"/>
      <c r="J60" s="46"/>
      <c r="K60" s="47"/>
      <c r="L60" s="139"/>
      <c r="M60" s="140"/>
      <c r="O60" s="8"/>
      <c r="R60" s="87"/>
      <c r="U60" s="94"/>
      <c r="V60" s="94"/>
      <c r="W60" s="121"/>
    </row>
    <row r="61" spans="1:23" ht="24.95" hidden="1" customHeight="1" x14ac:dyDescent="0.55000000000000004">
      <c r="A61" s="90"/>
      <c r="B61" s="91"/>
      <c r="C61" s="55" t="s">
        <v>35</v>
      </c>
      <c r="D61" s="31"/>
      <c r="E61" s="31"/>
      <c r="F61" s="31"/>
      <c r="G61" s="31"/>
      <c r="H61" s="31"/>
      <c r="I61" s="48"/>
      <c r="J61" s="46"/>
      <c r="K61" s="47"/>
      <c r="L61" s="139"/>
      <c r="M61" s="140"/>
      <c r="O61" s="8"/>
      <c r="R61" s="87"/>
      <c r="U61" s="94"/>
      <c r="V61" s="94"/>
      <c r="W61" s="121"/>
    </row>
    <row r="62" spans="1:23" ht="24.95" hidden="1" customHeight="1" x14ac:dyDescent="0.55000000000000004">
      <c r="A62" s="90"/>
      <c r="B62" s="91"/>
      <c r="C62" s="55" t="s">
        <v>67</v>
      </c>
      <c r="D62" s="31"/>
      <c r="E62" s="31"/>
      <c r="F62" s="31"/>
      <c r="G62" s="31"/>
      <c r="H62" s="31"/>
      <c r="I62" s="48"/>
      <c r="J62" s="46"/>
      <c r="K62" s="47"/>
      <c r="L62" s="139"/>
      <c r="M62" s="140"/>
      <c r="O62" s="8"/>
      <c r="R62" s="87"/>
      <c r="U62" s="94"/>
      <c r="V62" s="94"/>
      <c r="W62" s="121"/>
    </row>
    <row r="63" spans="1:23" ht="24.95" hidden="1" customHeight="1" x14ac:dyDescent="0.55000000000000004">
      <c r="A63" s="90"/>
      <c r="B63" s="91"/>
      <c r="C63" s="55" t="s">
        <v>64</v>
      </c>
      <c r="D63" s="31"/>
      <c r="E63" s="31"/>
      <c r="F63" s="31"/>
      <c r="G63" s="31"/>
      <c r="H63" s="31"/>
      <c r="I63" s="48"/>
      <c r="J63" s="46"/>
      <c r="K63" s="47"/>
      <c r="L63" s="139"/>
      <c r="M63" s="140"/>
      <c r="O63" s="8"/>
      <c r="R63" s="87"/>
      <c r="U63" s="94"/>
      <c r="V63" s="94"/>
      <c r="W63" s="121"/>
    </row>
    <row r="64" spans="1:23" ht="24.95" hidden="1" customHeight="1" x14ac:dyDescent="0.55000000000000004">
      <c r="A64" s="90"/>
      <c r="B64" s="91"/>
      <c r="C64" s="55" t="s">
        <v>65</v>
      </c>
      <c r="D64" s="31"/>
      <c r="E64" s="31"/>
      <c r="F64" s="31"/>
      <c r="G64" s="31"/>
      <c r="H64" s="31"/>
      <c r="I64" s="48"/>
      <c r="J64" s="46"/>
      <c r="K64" s="47"/>
      <c r="L64" s="139"/>
      <c r="M64" s="140"/>
      <c r="O64" s="8"/>
      <c r="R64" s="87"/>
      <c r="U64" s="94"/>
      <c r="V64" s="94"/>
      <c r="W64" s="121"/>
    </row>
    <row r="65" spans="1:24" ht="24.95" hidden="1" customHeight="1" x14ac:dyDescent="0.55000000000000004">
      <c r="A65" s="90"/>
      <c r="B65" s="91"/>
      <c r="C65" s="55" t="s">
        <v>66</v>
      </c>
      <c r="D65" s="31"/>
      <c r="E65" s="31"/>
      <c r="F65" s="31"/>
      <c r="G65" s="31"/>
      <c r="H65" s="31"/>
      <c r="I65" s="48"/>
      <c r="J65" s="46"/>
      <c r="K65" s="47"/>
      <c r="L65" s="139"/>
      <c r="M65" s="140"/>
      <c r="O65" s="8"/>
      <c r="R65" s="87"/>
      <c r="U65" s="94"/>
      <c r="V65" s="94"/>
      <c r="W65" s="121"/>
    </row>
    <row r="66" spans="1:24" ht="24.95" hidden="1" customHeight="1" x14ac:dyDescent="0.55000000000000004">
      <c r="A66" s="90"/>
      <c r="B66" s="91"/>
      <c r="C66" s="55" t="s">
        <v>74</v>
      </c>
      <c r="D66" s="31"/>
      <c r="E66" s="31"/>
      <c r="F66" s="31"/>
      <c r="G66" s="31"/>
      <c r="H66" s="31"/>
      <c r="I66" s="48"/>
      <c r="J66" s="46"/>
      <c r="K66" s="47"/>
      <c r="L66" s="139"/>
      <c r="M66" s="140"/>
      <c r="O66" s="8"/>
      <c r="R66" s="87"/>
      <c r="U66" s="94"/>
      <c r="V66" s="94"/>
      <c r="W66" s="121"/>
    </row>
    <row r="67" spans="1:24" ht="24.95" hidden="1" customHeight="1" x14ac:dyDescent="0.55000000000000004">
      <c r="A67" s="90"/>
      <c r="B67" s="91"/>
      <c r="C67" s="55" t="s">
        <v>75</v>
      </c>
      <c r="D67" s="31"/>
      <c r="E67" s="31"/>
      <c r="F67" s="31"/>
      <c r="G67" s="31"/>
      <c r="H67" s="31"/>
      <c r="I67" s="48"/>
      <c r="J67" s="46"/>
      <c r="K67" s="47"/>
      <c r="L67" s="139"/>
      <c r="M67" s="140"/>
      <c r="O67" s="8"/>
      <c r="R67" s="87"/>
      <c r="U67" s="94"/>
      <c r="V67" s="94"/>
      <c r="W67" s="121"/>
    </row>
    <row r="68" spans="1:24" ht="24.95" hidden="1" customHeight="1" x14ac:dyDescent="0.55000000000000004">
      <c r="A68" s="90"/>
      <c r="B68" s="91"/>
      <c r="C68" s="55" t="s">
        <v>69</v>
      </c>
      <c r="D68" s="31"/>
      <c r="E68" s="31"/>
      <c r="F68" s="31"/>
      <c r="G68" s="31"/>
      <c r="H68" s="31"/>
      <c r="I68" s="48"/>
      <c r="J68" s="46"/>
      <c r="K68" s="47"/>
      <c r="L68" s="139"/>
      <c r="M68" s="140"/>
      <c r="O68" s="8"/>
      <c r="R68" s="87"/>
      <c r="U68" s="94"/>
      <c r="V68" s="94"/>
      <c r="W68" s="121"/>
    </row>
    <row r="69" spans="1:24" ht="24.95" hidden="1" customHeight="1" x14ac:dyDescent="0.55000000000000004">
      <c r="A69" s="90"/>
      <c r="B69" s="91"/>
      <c r="C69" s="55" t="s">
        <v>68</v>
      </c>
      <c r="D69" s="31"/>
      <c r="E69" s="31"/>
      <c r="F69" s="31"/>
      <c r="G69" s="31"/>
      <c r="H69" s="31"/>
      <c r="I69" s="48"/>
      <c r="J69" s="46"/>
      <c r="K69" s="47"/>
      <c r="L69" s="139"/>
      <c r="M69" s="140"/>
      <c r="O69" s="8"/>
      <c r="R69" s="87"/>
      <c r="U69" s="94"/>
      <c r="V69" s="94"/>
      <c r="W69" s="121"/>
    </row>
    <row r="70" spans="1:24" ht="30" customHeight="1" x14ac:dyDescent="0.25">
      <c r="A70" s="157"/>
      <c r="B70" s="158"/>
      <c r="C70" s="20" t="s">
        <v>4</v>
      </c>
      <c r="D70" s="23"/>
      <c r="E70" s="24"/>
      <c r="F70" s="24"/>
      <c r="G70" s="24"/>
      <c r="H70" s="25"/>
      <c r="I70" s="44"/>
      <c r="J70" s="44">
        <f t="shared" si="1"/>
        <v>0</v>
      </c>
      <c r="K70" s="45">
        <f>D70-J70</f>
        <v>0</v>
      </c>
      <c r="L70" s="139"/>
      <c r="M70" s="140"/>
      <c r="R70" s="84"/>
      <c r="S70" s="84"/>
      <c r="T70" s="84"/>
      <c r="U70" s="94"/>
      <c r="V70" s="94"/>
      <c r="W70" s="94"/>
      <c r="X70" s="84"/>
    </row>
    <row r="71" spans="1:24" ht="24.75" customHeight="1" x14ac:dyDescent="0.25">
      <c r="A71" s="157">
        <f>IFERROR(VLOOKUP(C71,Sheet1!$A$1:$B$17,2,FALSE),"")</f>
        <v>53100</v>
      </c>
      <c r="B71" s="158"/>
      <c r="C71" s="19" t="s">
        <v>32</v>
      </c>
      <c r="D71" s="28"/>
      <c r="E71" s="25"/>
      <c r="F71" s="25">
        <f>G71-E71</f>
        <v>0</v>
      </c>
      <c r="G71" s="24">
        <v>0</v>
      </c>
      <c r="H71" s="25">
        <f>D71-G71</f>
        <v>0</v>
      </c>
      <c r="I71" s="45"/>
      <c r="J71" s="44">
        <f t="shared" si="1"/>
        <v>0</v>
      </c>
      <c r="K71" s="45">
        <f>D71-J71</f>
        <v>0</v>
      </c>
      <c r="L71" s="139"/>
      <c r="M71" s="140"/>
      <c r="R71" s="84"/>
      <c r="S71" s="84"/>
      <c r="T71" s="84"/>
      <c r="U71" s="84"/>
      <c r="V71" s="84"/>
      <c r="W71" s="84"/>
      <c r="X71" s="84"/>
    </row>
    <row r="72" spans="1:24" ht="24.75" customHeight="1" x14ac:dyDescent="0.25">
      <c r="A72" s="157" t="str">
        <f>IFERROR(VLOOKUP(C72,Sheet1!$A$1:$B$17,2,FALSE),"")</f>
        <v/>
      </c>
      <c r="B72" s="158"/>
      <c r="C72" s="19"/>
      <c r="D72" s="28"/>
      <c r="E72" s="25"/>
      <c r="F72" s="25">
        <f>G72-E72</f>
        <v>0</v>
      </c>
      <c r="G72" s="24">
        <v>0</v>
      </c>
      <c r="H72" s="25">
        <f>D72-G72</f>
        <v>0</v>
      </c>
      <c r="I72" s="45"/>
      <c r="J72" s="44">
        <f t="shared" si="1"/>
        <v>0</v>
      </c>
      <c r="K72" s="45">
        <f>D72-J72</f>
        <v>0</v>
      </c>
      <c r="L72" s="139"/>
      <c r="M72" s="140"/>
      <c r="R72" s="84"/>
      <c r="S72" s="84"/>
      <c r="T72" s="84"/>
      <c r="U72" s="84"/>
      <c r="V72" s="84"/>
      <c r="W72" s="84"/>
      <c r="X72" s="84"/>
    </row>
    <row r="73" spans="1:24" ht="24.75" customHeight="1" x14ac:dyDescent="0.25">
      <c r="A73" s="157" t="str">
        <f>IFERROR(VLOOKUP(C73,Sheet1!$A$1:$B$17,2,FALSE),"")</f>
        <v/>
      </c>
      <c r="B73" s="158"/>
      <c r="C73" s="19"/>
      <c r="D73" s="28"/>
      <c r="E73" s="25"/>
      <c r="F73" s="25">
        <f>G73-E73</f>
        <v>0</v>
      </c>
      <c r="G73" s="24">
        <v>0</v>
      </c>
      <c r="H73" s="25">
        <f>D73-G73</f>
        <v>0</v>
      </c>
      <c r="I73" s="45"/>
      <c r="J73" s="44">
        <f t="shared" si="1"/>
        <v>0</v>
      </c>
      <c r="K73" s="45">
        <f>D73-J73</f>
        <v>0</v>
      </c>
      <c r="L73" s="139"/>
      <c r="M73" s="140"/>
      <c r="R73" s="84"/>
      <c r="S73" s="84"/>
      <c r="T73" s="84"/>
      <c r="U73" s="84"/>
      <c r="V73" s="84"/>
      <c r="W73" s="84"/>
      <c r="X73" s="84"/>
    </row>
    <row r="74" spans="1:24" ht="24.75" customHeight="1" x14ac:dyDescent="0.25">
      <c r="A74" s="157" t="str">
        <f>IFERROR(VLOOKUP(C74,Sheet1!$A$1:$B$17,2,FALSE),"")</f>
        <v/>
      </c>
      <c r="B74" s="158"/>
      <c r="C74" s="19"/>
      <c r="D74" s="28"/>
      <c r="E74" s="25"/>
      <c r="F74" s="25">
        <f>G74-E74</f>
        <v>0</v>
      </c>
      <c r="G74" s="24">
        <v>0</v>
      </c>
      <c r="H74" s="25">
        <f>D74-G74</f>
        <v>0</v>
      </c>
      <c r="I74" s="45"/>
      <c r="J74" s="44">
        <f t="shared" si="1"/>
        <v>0</v>
      </c>
      <c r="K74" s="45">
        <f>D74-J74</f>
        <v>0</v>
      </c>
      <c r="L74" s="139"/>
      <c r="M74" s="140"/>
      <c r="R74" s="92"/>
      <c r="S74" s="93"/>
      <c r="T74" s="93"/>
      <c r="U74" s="93"/>
      <c r="V74" s="93"/>
      <c r="W74" s="93"/>
      <c r="X74" s="84"/>
    </row>
    <row r="75" spans="1:24" ht="24.75" customHeight="1" x14ac:dyDescent="0.25">
      <c r="A75" s="157" t="str">
        <f>IFERROR(VLOOKUP(C75,Sheet1!$A$1:$B$17,2,FALSE),"")</f>
        <v/>
      </c>
      <c r="B75" s="158"/>
      <c r="C75" s="19"/>
      <c r="D75" s="28"/>
      <c r="E75" s="25"/>
      <c r="F75" s="25">
        <f t="shared" ref="F75:F82" si="10">G75-E75</f>
        <v>0</v>
      </c>
      <c r="G75" s="24">
        <v>0</v>
      </c>
      <c r="H75" s="25">
        <f t="shared" ref="H75:H82" si="11">D75-G75</f>
        <v>0</v>
      </c>
      <c r="I75" s="45"/>
      <c r="J75" s="44">
        <f t="shared" ref="J75:J82" si="12">G75+I75</f>
        <v>0</v>
      </c>
      <c r="K75" s="45">
        <f t="shared" ref="K75:K82" si="13">D75-J75</f>
        <v>0</v>
      </c>
      <c r="L75" s="139"/>
      <c r="M75" s="140"/>
      <c r="R75" s="92"/>
      <c r="S75" s="93"/>
      <c r="T75" s="93"/>
      <c r="U75" s="93"/>
      <c r="V75" s="93"/>
      <c r="W75" s="93"/>
      <c r="X75" s="84"/>
    </row>
    <row r="76" spans="1:24" ht="24.75" customHeight="1" x14ac:dyDescent="0.25">
      <c r="A76" s="157" t="str">
        <f>IFERROR(VLOOKUP(C76,Sheet1!$A$1:$B$17,2,FALSE),"")</f>
        <v/>
      </c>
      <c r="B76" s="158"/>
      <c r="C76" s="19"/>
      <c r="D76" s="28"/>
      <c r="E76" s="25"/>
      <c r="F76" s="25">
        <f t="shared" si="10"/>
        <v>0</v>
      </c>
      <c r="G76" s="24">
        <v>0</v>
      </c>
      <c r="H76" s="25">
        <f t="shared" si="11"/>
        <v>0</v>
      </c>
      <c r="I76" s="45"/>
      <c r="J76" s="44">
        <f t="shared" si="12"/>
        <v>0</v>
      </c>
      <c r="K76" s="45">
        <f t="shared" si="13"/>
        <v>0</v>
      </c>
      <c r="L76" s="139"/>
      <c r="M76" s="140"/>
      <c r="R76" s="92"/>
      <c r="S76" s="93"/>
      <c r="T76" s="93"/>
      <c r="U76" s="93"/>
      <c r="V76" s="93"/>
      <c r="W76" s="93"/>
      <c r="X76" s="84"/>
    </row>
    <row r="77" spans="1:24" ht="24.75" customHeight="1" x14ac:dyDescent="0.25">
      <c r="A77" s="157" t="str">
        <f>IFERROR(VLOOKUP(C77,Sheet1!$A$1:$B$17,2,FALSE),"")</f>
        <v/>
      </c>
      <c r="B77" s="158"/>
      <c r="C77" s="19"/>
      <c r="D77" s="28"/>
      <c r="E77" s="25"/>
      <c r="F77" s="25">
        <f t="shared" si="10"/>
        <v>0</v>
      </c>
      <c r="G77" s="24">
        <v>0</v>
      </c>
      <c r="H77" s="25">
        <f t="shared" si="11"/>
        <v>0</v>
      </c>
      <c r="I77" s="45"/>
      <c r="J77" s="44">
        <f t="shared" si="12"/>
        <v>0</v>
      </c>
      <c r="K77" s="45">
        <f t="shared" si="13"/>
        <v>0</v>
      </c>
      <c r="L77" s="139"/>
      <c r="M77" s="140"/>
      <c r="R77" s="92"/>
      <c r="S77" s="93"/>
      <c r="T77" s="93"/>
      <c r="U77" s="93"/>
      <c r="V77" s="93"/>
      <c r="W77" s="93"/>
      <c r="X77" s="84"/>
    </row>
    <row r="78" spans="1:24" ht="24.75" customHeight="1" x14ac:dyDescent="0.25">
      <c r="A78" s="90"/>
      <c r="B78" s="91"/>
      <c r="C78" s="19"/>
      <c r="D78" s="28"/>
      <c r="E78" s="25"/>
      <c r="F78" s="25">
        <f t="shared" si="10"/>
        <v>0</v>
      </c>
      <c r="G78" s="24">
        <v>0</v>
      </c>
      <c r="H78" s="25">
        <f>D78-G78</f>
        <v>0</v>
      </c>
      <c r="I78" s="45"/>
      <c r="J78" s="44">
        <f>G78+I78</f>
        <v>0</v>
      </c>
      <c r="K78" s="45">
        <f>D78-J78</f>
        <v>0</v>
      </c>
      <c r="L78" s="139"/>
      <c r="M78" s="140"/>
      <c r="R78" s="92"/>
      <c r="S78" s="93"/>
      <c r="T78" s="93"/>
      <c r="U78" s="93"/>
      <c r="V78" s="93"/>
      <c r="W78" s="93"/>
      <c r="X78" s="84"/>
    </row>
    <row r="79" spans="1:24" ht="24.75" customHeight="1" x14ac:dyDescent="0.25">
      <c r="A79" s="90"/>
      <c r="B79" s="91"/>
      <c r="C79" s="19"/>
      <c r="D79" s="28"/>
      <c r="E79" s="25"/>
      <c r="F79" s="25">
        <f t="shared" si="10"/>
        <v>0</v>
      </c>
      <c r="G79" s="24">
        <v>0</v>
      </c>
      <c r="H79" s="25">
        <f>D79-G79</f>
        <v>0</v>
      </c>
      <c r="I79" s="45"/>
      <c r="J79" s="44">
        <f>G79+I79</f>
        <v>0</v>
      </c>
      <c r="K79" s="45">
        <f>D79-J79</f>
        <v>0</v>
      </c>
      <c r="L79" s="139"/>
      <c r="M79" s="140"/>
      <c r="R79" s="92"/>
      <c r="S79" s="93"/>
      <c r="T79" s="93"/>
      <c r="U79" s="93"/>
      <c r="V79" s="93"/>
      <c r="W79" s="93"/>
      <c r="X79" s="84"/>
    </row>
    <row r="80" spans="1:24" ht="24.75" customHeight="1" x14ac:dyDescent="0.25">
      <c r="A80" s="157" t="str">
        <f>IFERROR(VLOOKUP(C80,Sheet1!$A$1:$B$17,2,FALSE),"")</f>
        <v/>
      </c>
      <c r="B80" s="158"/>
      <c r="C80" s="19"/>
      <c r="D80" s="28"/>
      <c r="E80" s="25"/>
      <c r="F80" s="25">
        <f t="shared" si="10"/>
        <v>0</v>
      </c>
      <c r="G80" s="24">
        <v>0</v>
      </c>
      <c r="H80" s="25">
        <f t="shared" si="11"/>
        <v>0</v>
      </c>
      <c r="I80" s="45"/>
      <c r="J80" s="44">
        <f t="shared" si="12"/>
        <v>0</v>
      </c>
      <c r="K80" s="45">
        <f t="shared" si="13"/>
        <v>0</v>
      </c>
      <c r="L80" s="139"/>
      <c r="M80" s="140"/>
      <c r="R80" s="92"/>
      <c r="S80" s="93"/>
      <c r="T80" s="93"/>
      <c r="U80" s="93"/>
      <c r="V80" s="93"/>
      <c r="W80" s="93"/>
      <c r="X80" s="84"/>
    </row>
    <row r="81" spans="1:24" ht="24.75" customHeight="1" x14ac:dyDescent="0.25">
      <c r="A81" s="157" t="str">
        <f>IFERROR(VLOOKUP(C81,Sheet1!$A$1:$B$17,2,FALSE),"")</f>
        <v/>
      </c>
      <c r="B81" s="158"/>
      <c r="C81" s="19"/>
      <c r="D81" s="28"/>
      <c r="E81" s="25"/>
      <c r="F81" s="25">
        <f t="shared" si="10"/>
        <v>0</v>
      </c>
      <c r="G81" s="24">
        <v>0</v>
      </c>
      <c r="H81" s="25">
        <f t="shared" si="11"/>
        <v>0</v>
      </c>
      <c r="I81" s="45"/>
      <c r="J81" s="44">
        <f t="shared" si="12"/>
        <v>0</v>
      </c>
      <c r="K81" s="45">
        <f t="shared" si="13"/>
        <v>0</v>
      </c>
      <c r="L81" s="139"/>
      <c r="M81" s="140"/>
      <c r="R81" s="94"/>
      <c r="S81" s="94"/>
      <c r="T81" s="94"/>
      <c r="U81" s="94"/>
      <c r="V81" s="94"/>
      <c r="W81" s="94"/>
      <c r="X81" s="84"/>
    </row>
    <row r="82" spans="1:24" ht="24.95" customHeight="1" x14ac:dyDescent="0.25">
      <c r="A82" s="157" t="str">
        <f>IFERROR(VLOOKUP(C82,Sheet1!$A$1:$B$17,2,FALSE),"")</f>
        <v/>
      </c>
      <c r="B82" s="158"/>
      <c r="C82" s="19"/>
      <c r="D82" s="28"/>
      <c r="E82" s="25"/>
      <c r="F82" s="25">
        <f t="shared" si="10"/>
        <v>0</v>
      </c>
      <c r="G82" s="24">
        <v>0</v>
      </c>
      <c r="H82" s="25">
        <f t="shared" si="11"/>
        <v>0</v>
      </c>
      <c r="I82" s="45"/>
      <c r="J82" s="44">
        <f t="shared" si="12"/>
        <v>0</v>
      </c>
      <c r="K82" s="45">
        <f t="shared" si="13"/>
        <v>0</v>
      </c>
      <c r="L82" s="139"/>
      <c r="M82" s="140"/>
      <c r="R82" s="94"/>
      <c r="S82" s="94"/>
      <c r="T82" s="94"/>
      <c r="U82" s="94"/>
      <c r="V82" s="94"/>
      <c r="W82" s="94"/>
      <c r="X82" s="84"/>
    </row>
    <row r="83" spans="1:24" ht="24.95" customHeight="1" x14ac:dyDescent="0.25">
      <c r="A83" s="157" t="str">
        <f>IFERROR(VLOOKUP(C83,Sheet1!$A$1:$B$17,2,FALSE),"")</f>
        <v/>
      </c>
      <c r="B83" s="158"/>
      <c r="C83" s="19"/>
      <c r="D83" s="28"/>
      <c r="E83" s="25">
        <v>0</v>
      </c>
      <c r="F83" s="25">
        <f>G83-E83</f>
        <v>0</v>
      </c>
      <c r="G83" s="24">
        <v>0</v>
      </c>
      <c r="H83" s="25">
        <f>D83-G83</f>
        <v>0</v>
      </c>
      <c r="I83" s="45"/>
      <c r="J83" s="44">
        <f>G83+I83</f>
        <v>0</v>
      </c>
      <c r="K83" s="45">
        <f>D83-J83</f>
        <v>0</v>
      </c>
      <c r="L83" s="139"/>
      <c r="M83" s="140"/>
      <c r="R83" s="94"/>
      <c r="S83" s="94"/>
      <c r="T83" s="94"/>
      <c r="U83" s="94"/>
      <c r="V83" s="94"/>
      <c r="W83" s="94"/>
      <c r="X83" s="84"/>
    </row>
    <row r="84" spans="1:24" ht="24.95" customHeight="1" x14ac:dyDescent="0.55000000000000004">
      <c r="A84" s="157"/>
      <c r="B84" s="158"/>
      <c r="C84" s="26" t="s">
        <v>2</v>
      </c>
      <c r="D84" s="31">
        <f t="shared" ref="D84:I84" si="14">SUM(D71:D83)</f>
        <v>0</v>
      </c>
      <c r="E84" s="31">
        <f t="shared" si="14"/>
        <v>0</v>
      </c>
      <c r="F84" s="31">
        <f t="shared" si="14"/>
        <v>0</v>
      </c>
      <c r="G84" s="36">
        <f t="shared" si="14"/>
        <v>0</v>
      </c>
      <c r="H84" s="31">
        <f t="shared" si="14"/>
        <v>0</v>
      </c>
      <c r="I84" s="48">
        <f t="shared" si="14"/>
        <v>0</v>
      </c>
      <c r="J84" s="46">
        <f>G84+I84</f>
        <v>0</v>
      </c>
      <c r="K84" s="47">
        <f>D84-J84</f>
        <v>0</v>
      </c>
      <c r="L84" s="139"/>
      <c r="M84" s="140"/>
      <c r="O84" s="59"/>
      <c r="R84" s="94"/>
      <c r="S84" s="94"/>
      <c r="T84" s="94"/>
      <c r="U84" s="94"/>
      <c r="V84" s="94"/>
      <c r="W84" s="94"/>
      <c r="X84" s="84"/>
    </row>
    <row r="85" spans="1:24" ht="24.95" customHeight="1" x14ac:dyDescent="0.3">
      <c r="A85" s="157"/>
      <c r="B85" s="158"/>
      <c r="C85" s="27" t="s">
        <v>28</v>
      </c>
      <c r="D85" s="28">
        <f>(D84+D54)*I2</f>
        <v>0</v>
      </c>
      <c r="E85" s="28">
        <f>(E84+E54)*J2</f>
        <v>0</v>
      </c>
      <c r="F85" s="28">
        <f>(F84+F54)*K2</f>
        <v>0</v>
      </c>
      <c r="G85" s="28">
        <f>(G84+G54)*L2</f>
        <v>0</v>
      </c>
      <c r="H85" s="25">
        <f>D85-G85</f>
        <v>0</v>
      </c>
      <c r="I85" s="49">
        <f ca="1">(I54+I84-I82-I83)*$I2</f>
        <v>0</v>
      </c>
      <c r="J85" s="44">
        <f ca="1">G85+I85</f>
        <v>0</v>
      </c>
      <c r="K85" s="45">
        <f ca="1">D85-J85</f>
        <v>0</v>
      </c>
      <c r="L85" s="139"/>
      <c r="M85" s="140"/>
      <c r="R85" s="94"/>
      <c r="S85" s="94"/>
      <c r="T85" s="94"/>
      <c r="U85" s="94"/>
      <c r="V85" s="94"/>
      <c r="W85" s="94"/>
      <c r="X85" s="84"/>
    </row>
    <row r="86" spans="1:24" ht="30" customHeight="1" x14ac:dyDescent="0.4">
      <c r="A86" s="157"/>
      <c r="B86" s="158"/>
      <c r="C86" s="26" t="s">
        <v>37</v>
      </c>
      <c r="D86" s="61">
        <f t="shared" ref="D86:I86" si="15">D54+D84+D85</f>
        <v>0</v>
      </c>
      <c r="E86" s="32">
        <f t="shared" si="15"/>
        <v>0</v>
      </c>
      <c r="F86" s="32">
        <f t="shared" si="15"/>
        <v>0</v>
      </c>
      <c r="G86" s="33">
        <f t="shared" si="15"/>
        <v>0</v>
      </c>
      <c r="H86" s="32">
        <f t="shared" si="15"/>
        <v>0</v>
      </c>
      <c r="I86" s="50">
        <f t="shared" ca="1" si="15"/>
        <v>0</v>
      </c>
      <c r="J86" s="51">
        <f ca="1">G86+I86</f>
        <v>0</v>
      </c>
      <c r="K86" s="73">
        <f ca="1">D86-J86</f>
        <v>0</v>
      </c>
      <c r="L86" s="139"/>
      <c r="M86" s="140"/>
      <c r="R86" s="94"/>
      <c r="S86" s="94"/>
      <c r="T86" s="94"/>
      <c r="U86" s="94"/>
      <c r="V86" s="94"/>
      <c r="W86" s="94"/>
      <c r="X86" s="84"/>
    </row>
    <row r="87" spans="1:24" ht="24.95" customHeight="1" x14ac:dyDescent="0.2">
      <c r="R87" s="94"/>
      <c r="S87" s="94"/>
      <c r="T87" s="94"/>
      <c r="U87" s="94"/>
      <c r="V87" s="94"/>
      <c r="W87" s="94"/>
      <c r="X87" s="84"/>
    </row>
    <row r="88" spans="1:24" ht="24.95" customHeight="1" x14ac:dyDescent="0.2">
      <c r="I88" s="164" t="s">
        <v>41</v>
      </c>
      <c r="J88" s="164"/>
      <c r="K88" s="164"/>
      <c r="L88" s="164"/>
      <c r="M88" s="164"/>
      <c r="N88" s="164"/>
      <c r="R88" s="94"/>
      <c r="S88" s="94"/>
      <c r="T88" s="94"/>
      <c r="U88" s="94"/>
      <c r="V88" s="94"/>
      <c r="W88" s="94"/>
      <c r="X88" s="84"/>
    </row>
    <row r="89" spans="1:24" ht="24.95" customHeight="1" x14ac:dyDescent="0.2">
      <c r="R89" s="77"/>
      <c r="S89" s="77"/>
      <c r="T89" s="77"/>
      <c r="U89" s="77"/>
      <c r="V89" s="77"/>
      <c r="W89" s="77"/>
    </row>
    <row r="90" spans="1:24" ht="24.95" customHeight="1" x14ac:dyDescent="0.2">
      <c r="F90" s="75"/>
      <c r="I90" s="2"/>
      <c r="M90" s="1"/>
      <c r="R90" s="77"/>
      <c r="S90" s="77"/>
      <c r="T90" s="77"/>
      <c r="U90" s="77"/>
      <c r="V90" s="77"/>
      <c r="W90" s="77"/>
    </row>
    <row r="91" spans="1:24" ht="24.95" customHeight="1" x14ac:dyDescent="0.25">
      <c r="C91" s="100" t="s">
        <v>96</v>
      </c>
      <c r="F91" s="74"/>
      <c r="G91" s="74"/>
      <c r="H91" s="74"/>
      <c r="I91" s="74"/>
      <c r="K91" s="174"/>
      <c r="L91" s="174"/>
      <c r="M91" s="174"/>
      <c r="R91" s="77"/>
      <c r="S91" s="77"/>
      <c r="T91" s="77"/>
      <c r="U91" s="77"/>
      <c r="V91" s="77"/>
      <c r="W91" s="77"/>
    </row>
    <row r="92" spans="1:24" ht="24.95" customHeight="1" x14ac:dyDescent="0.25">
      <c r="E92" s="173" t="s">
        <v>92</v>
      </c>
      <c r="F92" s="173"/>
      <c r="G92" s="173"/>
      <c r="H92" s="173" t="s">
        <v>93</v>
      </c>
      <c r="I92" s="173"/>
      <c r="J92" s="173"/>
      <c r="K92" s="173" t="s">
        <v>94</v>
      </c>
      <c r="L92" s="173"/>
      <c r="M92" s="173"/>
      <c r="N92" s="101"/>
      <c r="O92" s="173" t="s">
        <v>97</v>
      </c>
      <c r="P92" s="123"/>
      <c r="Q92" s="124"/>
      <c r="R92" s="138"/>
      <c r="S92" s="77"/>
      <c r="V92" s="77"/>
      <c r="W92" s="77"/>
    </row>
    <row r="93" spans="1:24" ht="24.95" customHeight="1" x14ac:dyDescent="0.25">
      <c r="C93" s="106" t="s">
        <v>80</v>
      </c>
      <c r="D93" s="106" t="s">
        <v>89</v>
      </c>
      <c r="E93" s="107" t="s">
        <v>95</v>
      </c>
      <c r="F93" s="107" t="s">
        <v>81</v>
      </c>
      <c r="G93" s="107" t="s">
        <v>40</v>
      </c>
      <c r="H93" s="107" t="s">
        <v>95</v>
      </c>
      <c r="I93" s="107" t="s">
        <v>81</v>
      </c>
      <c r="J93" s="107" t="s">
        <v>40</v>
      </c>
      <c r="K93" s="107" t="s">
        <v>95</v>
      </c>
      <c r="L93" s="107" t="s">
        <v>81</v>
      </c>
      <c r="M93" s="107" t="s">
        <v>40</v>
      </c>
      <c r="O93" s="173"/>
      <c r="P93" s="125"/>
      <c r="Q93" s="126"/>
      <c r="R93" s="138"/>
      <c r="S93" s="77"/>
      <c r="V93" s="77"/>
      <c r="W93" s="77"/>
    </row>
    <row r="94" spans="1:24" ht="24.95" customHeight="1" x14ac:dyDescent="0.25">
      <c r="C94" s="106" t="s">
        <v>82</v>
      </c>
      <c r="D94" s="105">
        <v>50010</v>
      </c>
      <c r="E94" s="88"/>
      <c r="F94" s="109">
        <v>0.54090000000000005</v>
      </c>
      <c r="G94" s="113">
        <f>E94*F94</f>
        <v>0</v>
      </c>
      <c r="H94" s="108"/>
      <c r="I94" s="109"/>
      <c r="J94" s="113">
        <f>H94*I94</f>
        <v>0</v>
      </c>
      <c r="K94" s="110"/>
      <c r="L94" s="116"/>
      <c r="M94" s="113">
        <f>K94*L94</f>
        <v>0</v>
      </c>
      <c r="O94" s="114">
        <f>G94+J94+M94</f>
        <v>0</v>
      </c>
      <c r="P94" s="127"/>
      <c r="Q94" s="128"/>
      <c r="R94" s="129"/>
      <c r="S94" s="77"/>
      <c r="V94" s="77"/>
      <c r="W94" s="77"/>
    </row>
    <row r="95" spans="1:24" ht="24.95" customHeight="1" x14ac:dyDescent="0.25">
      <c r="C95" s="106" t="s">
        <v>86</v>
      </c>
      <c r="D95" s="105">
        <v>50020</v>
      </c>
      <c r="E95" s="88"/>
      <c r="F95" s="109">
        <v>0.54090000000000005</v>
      </c>
      <c r="G95" s="113">
        <f t="shared" ref="G95:G100" si="16">E95*F95</f>
        <v>0</v>
      </c>
      <c r="H95" s="108"/>
      <c r="I95" s="109"/>
      <c r="J95" s="113">
        <f t="shared" ref="J95:J100" si="17">H95*I95</f>
        <v>0</v>
      </c>
      <c r="K95" s="110"/>
      <c r="L95" s="116"/>
      <c r="M95" s="113">
        <f t="shared" ref="M95:M100" si="18">K95*L95</f>
        <v>0</v>
      </c>
      <c r="O95" s="114">
        <f t="shared" ref="O95:O100" si="19">G95+J95+M95</f>
        <v>0</v>
      </c>
      <c r="P95" s="127"/>
      <c r="Q95" s="128"/>
      <c r="R95" s="129"/>
      <c r="S95" s="77"/>
      <c r="V95" s="77"/>
      <c r="W95" s="77"/>
    </row>
    <row r="96" spans="1:24" ht="24.95" customHeight="1" x14ac:dyDescent="0.25">
      <c r="C96" s="106" t="s">
        <v>87</v>
      </c>
      <c r="D96" s="105">
        <v>50030</v>
      </c>
      <c r="E96" s="88"/>
      <c r="F96" s="109">
        <v>0.54090000000000005</v>
      </c>
      <c r="G96" s="113">
        <f t="shared" si="16"/>
        <v>0</v>
      </c>
      <c r="H96" s="111"/>
      <c r="I96" s="115"/>
      <c r="J96" s="113">
        <f t="shared" si="17"/>
        <v>0</v>
      </c>
      <c r="K96" s="112"/>
      <c r="L96" s="116"/>
      <c r="M96" s="113">
        <f t="shared" si="18"/>
        <v>0</v>
      </c>
      <c r="O96" s="114">
        <f t="shared" si="19"/>
        <v>0</v>
      </c>
      <c r="P96" s="127"/>
      <c r="Q96" s="128"/>
      <c r="R96" s="129"/>
      <c r="S96" s="77"/>
      <c r="V96" s="77"/>
      <c r="W96" s="77"/>
    </row>
    <row r="97" spans="3:23" ht="24.95" customHeight="1" x14ac:dyDescent="0.25">
      <c r="C97" s="106" t="s">
        <v>88</v>
      </c>
      <c r="D97" s="105">
        <v>50040</v>
      </c>
      <c r="E97" s="88"/>
      <c r="F97" s="109">
        <v>0.54090000000000005</v>
      </c>
      <c r="G97" s="113">
        <f t="shared" si="16"/>
        <v>0</v>
      </c>
      <c r="H97" s="88"/>
      <c r="I97" s="115"/>
      <c r="J97" s="113">
        <f t="shared" si="17"/>
        <v>0</v>
      </c>
      <c r="K97" s="88"/>
      <c r="L97" s="115"/>
      <c r="M97" s="113">
        <f t="shared" si="18"/>
        <v>0</v>
      </c>
      <c r="O97" s="114">
        <f t="shared" si="19"/>
        <v>0</v>
      </c>
      <c r="P97" s="130"/>
      <c r="Q97" s="128"/>
      <c r="R97" s="129"/>
      <c r="S97" s="77"/>
      <c r="V97" s="77"/>
      <c r="W97" s="77"/>
    </row>
    <row r="98" spans="3:23" ht="24.95" customHeight="1" x14ac:dyDescent="0.25">
      <c r="C98" s="106" t="s">
        <v>83</v>
      </c>
      <c r="D98" s="105">
        <v>50100</v>
      </c>
      <c r="E98" s="88"/>
      <c r="F98" s="109">
        <v>0.54090000000000005</v>
      </c>
      <c r="G98" s="113">
        <f t="shared" si="16"/>
        <v>0</v>
      </c>
      <c r="H98" s="88"/>
      <c r="I98" s="115"/>
      <c r="J98" s="113">
        <f t="shared" si="17"/>
        <v>0</v>
      </c>
      <c r="K98" s="88"/>
      <c r="L98" s="115"/>
      <c r="M98" s="113">
        <f t="shared" si="18"/>
        <v>0</v>
      </c>
      <c r="O98" s="114">
        <f t="shared" si="19"/>
        <v>0</v>
      </c>
      <c r="P98" s="130"/>
      <c r="Q98" s="128"/>
      <c r="R98" s="129"/>
      <c r="S98" s="77"/>
      <c r="V98" s="77"/>
      <c r="W98" s="77"/>
    </row>
    <row r="99" spans="3:23" ht="24.95" customHeight="1" x14ac:dyDescent="0.25">
      <c r="C99" s="106" t="s">
        <v>84</v>
      </c>
      <c r="D99" s="105">
        <v>50060</v>
      </c>
      <c r="E99" s="88"/>
      <c r="F99" s="109">
        <v>0.52710000000000001</v>
      </c>
      <c r="G99" s="113">
        <f t="shared" si="16"/>
        <v>0</v>
      </c>
      <c r="H99" s="88"/>
      <c r="I99" s="115"/>
      <c r="J99" s="113">
        <f t="shared" si="17"/>
        <v>0</v>
      </c>
      <c r="K99" s="88"/>
      <c r="L99" s="115"/>
      <c r="M99" s="113">
        <f t="shared" si="18"/>
        <v>0</v>
      </c>
      <c r="O99" s="114">
        <f t="shared" si="19"/>
        <v>0</v>
      </c>
      <c r="P99" s="130"/>
      <c r="Q99" s="128"/>
      <c r="R99" s="129"/>
    </row>
    <row r="100" spans="3:23" ht="24.95" customHeight="1" x14ac:dyDescent="0.25">
      <c r="C100" s="106" t="s">
        <v>85</v>
      </c>
      <c r="D100" s="105">
        <v>50050</v>
      </c>
      <c r="E100" s="88"/>
      <c r="F100" s="109">
        <v>0.24510000000000001</v>
      </c>
      <c r="G100" s="113">
        <f t="shared" si="16"/>
        <v>0</v>
      </c>
      <c r="H100" s="88"/>
      <c r="I100" s="115"/>
      <c r="J100" s="113">
        <f t="shared" si="17"/>
        <v>0</v>
      </c>
      <c r="K100" s="88"/>
      <c r="L100" s="115"/>
      <c r="M100" s="113">
        <f t="shared" si="18"/>
        <v>0</v>
      </c>
      <c r="O100" s="114">
        <f t="shared" si="19"/>
        <v>0</v>
      </c>
      <c r="P100" s="130"/>
      <c r="Q100" s="128"/>
      <c r="R100" s="129"/>
    </row>
    <row r="101" spans="3:23" ht="24.95" customHeight="1" x14ac:dyDescent="0.25">
      <c r="C101" s="106"/>
      <c r="D101" s="105"/>
      <c r="E101" s="88"/>
      <c r="F101" s="88"/>
      <c r="G101" s="113">
        <f>SUM(G94:G100)</f>
        <v>0</v>
      </c>
      <c r="H101" s="88"/>
      <c r="I101" s="88"/>
      <c r="J101" s="113">
        <f>SUM(J94:J100)</f>
        <v>0</v>
      </c>
      <c r="K101" s="88"/>
      <c r="L101" s="88"/>
      <c r="M101" s="113">
        <f>SUM(M94:M100)</f>
        <v>0</v>
      </c>
      <c r="O101" s="114">
        <f>SUM(O94:O100)</f>
        <v>0</v>
      </c>
      <c r="P101" s="131"/>
      <c r="Q101" s="128"/>
      <c r="R101" s="129"/>
    </row>
  </sheetData>
  <mergeCells count="108">
    <mergeCell ref="E92:G92"/>
    <mergeCell ref="H92:J92"/>
    <mergeCell ref="K92:M92"/>
    <mergeCell ref="A85:B85"/>
    <mergeCell ref="A86:B86"/>
    <mergeCell ref="A71:B71"/>
    <mergeCell ref="A72:B72"/>
    <mergeCell ref="A73:B73"/>
    <mergeCell ref="A74:B74"/>
    <mergeCell ref="A81:B81"/>
    <mergeCell ref="A82:B82"/>
    <mergeCell ref="A75:B75"/>
    <mergeCell ref="A76:B76"/>
    <mergeCell ref="A52:B52"/>
    <mergeCell ref="A53:B53"/>
    <mergeCell ref="A83:B83"/>
    <mergeCell ref="A84:B84"/>
    <mergeCell ref="A54:B54"/>
    <mergeCell ref="A70:B70"/>
    <mergeCell ref="A77:B77"/>
    <mergeCell ref="A80:B80"/>
    <mergeCell ref="A46:B46"/>
    <mergeCell ref="A47:B47"/>
    <mergeCell ref="A49:B49"/>
    <mergeCell ref="A45:B45"/>
    <mergeCell ref="A1:B1"/>
    <mergeCell ref="A2:B2"/>
    <mergeCell ref="A3:B3"/>
    <mergeCell ref="A4:B4"/>
    <mergeCell ref="A34:B35"/>
    <mergeCell ref="A42:B42"/>
    <mergeCell ref="A43:B43"/>
    <mergeCell ref="A41:B41"/>
    <mergeCell ref="A37:B37"/>
    <mergeCell ref="A39:B39"/>
    <mergeCell ref="A40:B40"/>
    <mergeCell ref="I34:K34"/>
    <mergeCell ref="R34:S34"/>
    <mergeCell ref="P6:R7"/>
    <mergeCell ref="I88:N88"/>
    <mergeCell ref="P34:P35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A44:B44"/>
    <mergeCell ref="A50:B50"/>
    <mergeCell ref="A51:B51"/>
    <mergeCell ref="A48:B48"/>
    <mergeCell ref="I4:K4"/>
    <mergeCell ref="A6:M6"/>
    <mergeCell ref="C34:C35"/>
    <mergeCell ref="D34:D35"/>
    <mergeCell ref="E34:H34"/>
    <mergeCell ref="L34:M35"/>
    <mergeCell ref="L36:M36"/>
    <mergeCell ref="L37:M37"/>
    <mergeCell ref="L38:M38"/>
    <mergeCell ref="I7:K7"/>
    <mergeCell ref="A36:B36"/>
    <mergeCell ref="A38:B38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R92:R93"/>
    <mergeCell ref="L82:M82"/>
    <mergeCell ref="L83:M83"/>
    <mergeCell ref="L84:M84"/>
    <mergeCell ref="L85:M85"/>
    <mergeCell ref="L86:M86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O92:O93"/>
    <mergeCell ref="K91:M91"/>
    <mergeCell ref="L79:M79"/>
    <mergeCell ref="L80:M80"/>
    <mergeCell ref="L81:M81"/>
  </mergeCells>
  <phoneticPr fontId="4" type="noConversion"/>
  <dataValidations count="1">
    <dataValidation type="list" allowBlank="1" showInputMessage="1" showErrorMessage="1" sqref="I4:L4" xr:uid="{00000000-0002-0000-0200-000000000000}">
      <formula1>"Cost Reimbursement, Fixed Fee, Fixed Schedule, Advanced"</formula1>
    </dataValidation>
  </dataValidations>
  <printOptions horizontalCentered="1"/>
  <pageMargins left="0.25" right="0.25" top="0.5" bottom="0.25" header="0.5" footer="0.25"/>
  <pageSetup scale="50" orientation="landscape" horizontalDpi="300" verticalDpi="300" r:id="rId1"/>
  <headerFooter alignWithMargins="0">
    <oddFooter>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45308F-8D00-45EE-9E6E-B8AF1DB7DB61}">
          <x14:formula1>
            <xm:f>Sheet1!$A$1:$A$22</xm:f>
          </x14:formula1>
          <xm:sqref>C71:C83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Reference</vt:lpstr>
      <vt:lpstr>Current</vt:lpstr>
      <vt:lpstr>Current!Print_Area</vt:lpstr>
    </vt:vector>
  </TitlesOfParts>
  <Company>Rutgers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Guardabascio</dc:creator>
  <cp:lastModifiedBy>madelaine Corcoran</cp:lastModifiedBy>
  <cp:lastPrinted>2019-06-20T17:53:56Z</cp:lastPrinted>
  <dcterms:created xsi:type="dcterms:W3CDTF">1999-12-15T14:50:30Z</dcterms:created>
  <dcterms:modified xsi:type="dcterms:W3CDTF">2022-03-25T15:57:10Z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